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66925"/>
  <mc:AlternateContent xmlns:mc="http://schemas.openxmlformats.org/markup-compatibility/2006">
    <mc:Choice Requires="x15">
      <x15ac:absPath xmlns:x15ac="http://schemas.microsoft.com/office/spreadsheetml/2010/11/ac" url="https://alcaldiabogota-my.sharepoint.com/personal/magarciag_alcaldiabogota_gov_co/Documents/Varios/"/>
    </mc:Choice>
  </mc:AlternateContent>
  <xr:revisionPtr revIDLastSave="1" documentId="8_{167D529F-E127-446D-9648-BC873FECE1AB}" xr6:coauthVersionLast="45" xr6:coauthVersionMax="45" xr10:uidLastSave="{E3F2A2E2-7C61-4D7D-9131-85D52A648AB4}"/>
  <workbookProtection workbookAlgorithmName="SHA-512" workbookHashValue="4juMlJUwZDeCpJDl5jjdJ6JWMhGnPfZYX42YDfkACcb3Q3wZIK0Hrh0AC8XJrnVhEyP6moKHgkgV+rwSfPNpAw==" workbookSaltValue="dNI3ivnWgHbihlhL5nfeng==" workbookSpinCount="100000" lockStructure="1"/>
  <bookViews>
    <workbookView xWindow="-108" yWindow="-108" windowWidth="23256" windowHeight="12576" tabRatio="736" firstSheet="7" activeTab="7" xr2:uid="{00000000-000D-0000-FFFF-FFFF00000000}"/>
  </bookViews>
  <sheets>
    <sheet name="Indicaciones" sheetId="20" state="hidden" r:id="rId1"/>
    <sheet name="Sugerencias" sheetId="21" state="hidden" r:id="rId2"/>
    <sheet name="Listas" sheetId="7" state="hidden" r:id="rId3"/>
    <sheet name="RepConsolidado" sheetId="9" state="hidden" r:id="rId4"/>
    <sheet name="BD_Actividades" sheetId="5" state="hidden" r:id="rId5"/>
    <sheet name="BD_metas" sheetId="2" state="hidden" r:id="rId6"/>
    <sheet name="HV_indicador" sheetId="3" state="hidden" r:id="rId7"/>
    <sheet name="Presentacion" sheetId="30" r:id="rId8"/>
    <sheet name="Ficha_ID" sheetId="10" r:id="rId9"/>
    <sheet name="Plataforma estratégica" sheetId="32" r:id="rId10"/>
    <sheet name="Modelo de Op. por procesos" sheetId="31" r:id="rId11"/>
    <sheet name="Control_cambios" sheetId="22" state="hidden" r:id="rId12"/>
    <sheet name="PAAC" sheetId="4" state="hidden" r:id="rId13"/>
    <sheet name="Oficinas" sheetId="11" state="hidden" r:id="rId14"/>
    <sheet name="Consejerías" sheetId="12" state="hidden" r:id="rId15"/>
    <sheet name="Sub. Técnica" sheetId="18" state="hidden" r:id="rId16"/>
    <sheet name="Ciudadano" sheetId="13" state="hidden" r:id="rId17"/>
    <sheet name="Corporativa" sheetId="14" state="hidden" r:id="rId18"/>
    <sheet name="R_PAAC" sheetId="24" state="hidden" r:id="rId19"/>
    <sheet name="R_Consejerías" sheetId="26" state="hidden" r:id="rId20"/>
    <sheet name="R_Sub. Técnica" sheetId="27" state="hidden" r:id="rId21"/>
    <sheet name="R_Ciudadano" sheetId="28" state="hidden" r:id="rId22"/>
    <sheet name="R_Oficinas" sheetId="25" state="hidden" r:id="rId23"/>
    <sheet name="R_Corporativa" sheetId="29" state="hidden" r:id="rId24"/>
  </sheets>
  <externalReferences>
    <externalReference r:id="rId25"/>
    <externalReference r:id="rId26"/>
    <externalReference r:id="rId27"/>
    <externalReference r:id="rId28"/>
  </externalReferences>
  <definedNames>
    <definedName name="_xlnm._FilterDatabase" localSheetId="5" hidden="1">BD_metas!$A$5:$IG$69</definedName>
    <definedName name="_xlnm._FilterDatabase" localSheetId="2" hidden="1">Listas!$A$144:$A$171</definedName>
    <definedName name="_xlnm._FilterDatabase">BD_Actividades!$A$3:$BJ$86</definedName>
    <definedName name="actividades">BD_Actividades!$N$3:$BJ$86</definedName>
    <definedName name="arc">BD_metas!$A$33</definedName>
    <definedName name="_xlnm.Print_Area" localSheetId="10">'Modelo de Op. por procesos'!$A$1:$P$60</definedName>
    <definedName name="ati">BD_metas!$A$25:$A$26</definedName>
    <definedName name="bd">BD_metas!$A$5:$IG$69</definedName>
    <definedName name="bdfila">BD_metas!$A$5:$IG$5</definedName>
    <definedName name="cad">BD_metas!$A$58</definedName>
    <definedName name="cal">BD_metas!$A$48:$A$53</definedName>
    <definedName name="Ciudadano_1">Ciudadano!$D$9:$V$19</definedName>
    <definedName name="Ciudadano_2">Ciudadano!$F$23:$O$73</definedName>
    <definedName name="Ciudadano_R">R_Ciudadano!$C$8:$AB$18</definedName>
    <definedName name="Consejerias_1">Consejerías!$D$9:$V$17</definedName>
    <definedName name="Consejerias_2">Consejerías!$F$21:$O$61</definedName>
    <definedName name="Consejerias_R">R_Consejerías!$C$8:$AB$16</definedName>
    <definedName name="consolidado">RepConsolidado!$A$5:$DX$148</definedName>
    <definedName name="consolidadofila">RepConsolidado!$A$5:$DX$5</definedName>
    <definedName name="Corporativa_1">Corporativa!$D$9:$V$23</definedName>
    <definedName name="Corporativa_2">Corporativa!$F$27:$O$97</definedName>
    <definedName name="Corporativa_R">R_Corporativa!$C$8:$AB$22</definedName>
    <definedName name="daf">BD_metas!$A$59:$A$60</definedName>
    <definedName name="ddi">BD_metas!$A$34:$A$35</definedName>
    <definedName name="dependencia">Listas!$A$4:$A$30</definedName>
    <definedName name="dri">BD_metas!$A$36:$A$38</definedName>
    <definedName name="dth">BD_metas!$A$57:$A$58</definedName>
    <definedName name="fin">BD_metas!$A$65:$A$69</definedName>
    <definedName name="gestores">Listas!$A$69:$E$133</definedName>
    <definedName name="imp">BD_metas!$A$39</definedName>
    <definedName name="ivc">BD_metas!$A$54:$A$55</definedName>
    <definedName name="oaj">BD_metas!$A$14:$A$17</definedName>
    <definedName name="oap">BD_metas!$A$6:$A$13</definedName>
    <definedName name="oav">BD_metas!$A$27:$A$31</definedName>
    <definedName name="occ">BD_metas!$A$32</definedName>
    <definedName name="ocd">BD_metas!$A$20:$A$21</definedName>
    <definedName name="oci">BD_metas!$A$18:$A$19</definedName>
    <definedName name="Oficinas_1">Oficinas!$D$9:$V$22</definedName>
    <definedName name="Oficinas_2">Oficinas!$F$26:$O$91</definedName>
    <definedName name="Oficinas_R">R_Oficinas!$C$8:$AB$20</definedName>
    <definedName name="oti">BD_metas!$A$23:$A$24</definedName>
    <definedName name="PAAC_1" comment="sssss">PAAC!$C$9:$AA$15</definedName>
    <definedName name="PAAC_2">PAAC!$E$19:$T$49</definedName>
    <definedName name="PAAC_R">R_PAAC!$C$8:$AB$14</definedName>
    <definedName name="pro">BD_metas!$A$22</definedName>
    <definedName name="proyectos">Listas!$A$37:$A$45</definedName>
    <definedName name="responsables">Listas!$A$3:$L$30</definedName>
    <definedName name="sar">BD_metas!$A$41</definedName>
    <definedName name="sci">BD_metas!$A$46:$A$47</definedName>
    <definedName name="sco">BD_metas!$A$56</definedName>
    <definedName name="spi">BD_metas!$A$40</definedName>
    <definedName name="ssa">BD_metas!$A$61:$A$64</definedName>
    <definedName name="sta">BD_metas!$A$42</definedName>
    <definedName name="std">BD_metas!$A$43:$A$44</definedName>
    <definedName name="Subtecnica_1">'Sub. Técnica'!$D$9:$V$22</definedName>
    <definedName name="Subtecnica_2">'Sub. Técnica'!$F$26:$O$91</definedName>
    <definedName name="Subtecnica_R">'R_Sub. Técnica'!$C$8:$AB$21</definedName>
    <definedName name="tec">BD_metas!$A$45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6" i="22" l="1"/>
  <c r="I45" i="22"/>
  <c r="I44" i="22"/>
  <c r="I43" i="22"/>
  <c r="I42" i="22"/>
  <c r="K56" i="10"/>
  <c r="K57" i="10"/>
  <c r="K58" i="10"/>
  <c r="K59" i="10"/>
  <c r="K60" i="10"/>
  <c r="K61" i="10"/>
  <c r="K62" i="10"/>
  <c r="K63" i="10"/>
  <c r="K64" i="10"/>
  <c r="K65" i="10"/>
  <c r="K55" i="10"/>
  <c r="I56" i="10"/>
  <c r="I57" i="10"/>
  <c r="I58" i="10"/>
  <c r="I59" i="10"/>
  <c r="I60" i="10"/>
  <c r="I61" i="10"/>
  <c r="I62" i="10"/>
  <c r="I63" i="10"/>
  <c r="I64" i="10"/>
  <c r="I65" i="10"/>
  <c r="I55" i="10"/>
  <c r="A9" i="29"/>
  <c r="A9" i="28"/>
  <c r="A9" i="27"/>
  <c r="A9" i="26"/>
  <c r="A9" i="25"/>
  <c r="A9" i="24"/>
  <c r="GX28" i="2"/>
  <c r="GX59" i="2"/>
  <c r="GX60" i="2"/>
  <c r="GX68" i="2"/>
  <c r="P18" i="13"/>
  <c r="P19" i="13"/>
  <c r="I36" i="22"/>
  <c r="I37" i="22"/>
  <c r="I38" i="22"/>
  <c r="I35" i="22"/>
  <c r="I39" i="22"/>
  <c r="I41" i="22"/>
  <c r="I40" i="22"/>
  <c r="I34" i="22"/>
  <c r="I33" i="22"/>
  <c r="GV68" i="2"/>
  <c r="GW68" i="2"/>
  <c r="GU68" i="2"/>
  <c r="GS15" i="2"/>
  <c r="I32" i="22"/>
  <c r="I31" i="22"/>
  <c r="DS35" i="2"/>
  <c r="DS34" i="2"/>
  <c r="DO35" i="2"/>
  <c r="DP35" i="2"/>
  <c r="DQ35" i="2"/>
  <c r="DR35" i="2"/>
  <c r="DP34" i="2"/>
  <c r="DQ34" i="2"/>
  <c r="DR34" i="2"/>
  <c r="DO34" i="2"/>
  <c r="I30" i="22"/>
  <c r="I29" i="22"/>
  <c r="I28" i="22"/>
  <c r="I27" i="22"/>
  <c r="I26" i="22"/>
  <c r="DT31" i="2"/>
  <c r="DT30" i="2"/>
  <c r="DT29" i="2"/>
  <c r="DT27" i="2"/>
  <c r="GU28" i="2"/>
  <c r="GV28" i="2"/>
  <c r="GW28" i="2"/>
  <c r="GT28" i="2"/>
  <c r="GS28" i="2"/>
  <c r="I25" i="22"/>
  <c r="I24" i="22"/>
  <c r="I23" i="22"/>
  <c r="I22" i="22"/>
  <c r="I21" i="22"/>
  <c r="I20" i="22"/>
  <c r="I19" i="22"/>
  <c r="I18" i="22"/>
  <c r="I17" i="22"/>
  <c r="I12" i="22"/>
  <c r="GU60" i="2"/>
  <c r="GV60" i="2"/>
  <c r="GW60" i="2"/>
  <c r="GT60" i="2"/>
  <c r="GT59" i="2"/>
  <c r="GS60" i="2"/>
  <c r="GS59" i="2"/>
  <c r="I2" i="22"/>
  <c r="I3" i="22"/>
  <c r="I4" i="22"/>
  <c r="I5" i="22"/>
  <c r="I6" i="22"/>
  <c r="I7" i="22"/>
  <c r="I8" i="22"/>
  <c r="I9" i="22"/>
  <c r="I10" i="22"/>
  <c r="I11" i="22"/>
  <c r="I13" i="22"/>
  <c r="I14" i="22"/>
  <c r="I15" i="22"/>
  <c r="I16" i="22"/>
  <c r="GW59" i="2"/>
  <c r="GU59" i="2"/>
  <c r="GV59" i="2"/>
  <c r="C111" i="7"/>
  <c r="C112" i="7"/>
  <c r="C113" i="7"/>
  <c r="C114" i="7"/>
  <c r="C115" i="7"/>
  <c r="C116" i="7"/>
  <c r="C117" i="7"/>
  <c r="C118" i="7"/>
  <c r="C119" i="7"/>
  <c r="C120" i="7"/>
  <c r="B116" i="7"/>
  <c r="B117" i="7"/>
  <c r="B112" i="7"/>
  <c r="B113" i="7"/>
  <c r="B114" i="7"/>
  <c r="F54" i="9"/>
  <c r="F55" i="9"/>
  <c r="F50" i="9"/>
  <c r="F51" i="9"/>
  <c r="F52" i="9"/>
  <c r="D69" i="13"/>
  <c r="D70" i="13"/>
  <c r="D64" i="13"/>
  <c r="C64" i="13"/>
  <c r="D54" i="13"/>
  <c r="D55" i="13"/>
  <c r="D49" i="13"/>
  <c r="D50" i="13"/>
  <c r="D44" i="13"/>
  <c r="D45" i="13"/>
  <c r="F46" i="13"/>
  <c r="R19" i="13"/>
  <c r="R18" i="13"/>
  <c r="R17" i="13"/>
  <c r="R16" i="13"/>
  <c r="R15" i="13"/>
  <c r="R14" i="13"/>
  <c r="P16" i="13"/>
  <c r="T52" i="9" s="1"/>
  <c r="DU50" i="2" s="1"/>
  <c r="P15" i="13"/>
  <c r="T51" i="9" s="1"/>
  <c r="P14" i="13"/>
  <c r="T50" i="9" s="1"/>
  <c r="S14" i="13"/>
  <c r="U50" i="9" s="1"/>
  <c r="T14" i="13"/>
  <c r="V50" i="9" s="1"/>
  <c r="U14" i="13"/>
  <c r="W50" i="9" s="1"/>
  <c r="V14" i="13"/>
  <c r="X50" i="9" s="1"/>
  <c r="S15" i="13"/>
  <c r="U51" i="9" s="1"/>
  <c r="T15" i="13"/>
  <c r="V51" i="9" s="1"/>
  <c r="U15" i="13"/>
  <c r="W51" i="9" s="1"/>
  <c r="DE49" i="2" s="1"/>
  <c r="HA49" i="2" s="1"/>
  <c r="V15" i="13"/>
  <c r="X51" i="9" s="1"/>
  <c r="S16" i="13"/>
  <c r="U52" i="9" s="1"/>
  <c r="T16" i="13"/>
  <c r="V52" i="9" s="1"/>
  <c r="U16" i="13"/>
  <c r="W52" i="9" s="1"/>
  <c r="DE50" i="2" s="1"/>
  <c r="HA50" i="2" s="1"/>
  <c r="V16" i="13"/>
  <c r="X52" i="9" s="1"/>
  <c r="S17" i="13"/>
  <c r="T17" i="13"/>
  <c r="U17" i="13"/>
  <c r="V17" i="13"/>
  <c r="S18" i="13"/>
  <c r="U54" i="9" s="1"/>
  <c r="T18" i="13"/>
  <c r="V54" i="9" s="1"/>
  <c r="U18" i="13"/>
  <c r="W54" i="9" s="1"/>
  <c r="DE52" i="2" s="1"/>
  <c r="HA52" i="2" s="1"/>
  <c r="V18" i="13"/>
  <c r="X54" i="9" s="1"/>
  <c r="S19" i="13"/>
  <c r="U55" i="9" s="1"/>
  <c r="T19" i="13"/>
  <c r="V55" i="9" s="1"/>
  <c r="U19" i="13"/>
  <c r="W55" i="9" s="1"/>
  <c r="DE53" i="2" s="1"/>
  <c r="HA53" i="2" s="1"/>
  <c r="V19" i="13"/>
  <c r="X55" i="9" s="1"/>
  <c r="H14" i="13"/>
  <c r="I14" i="13"/>
  <c r="H15" i="13"/>
  <c r="I15" i="13"/>
  <c r="H16" i="13"/>
  <c r="I16" i="13"/>
  <c r="H17" i="13"/>
  <c r="I17" i="13"/>
  <c r="H18" i="13"/>
  <c r="I18" i="13"/>
  <c r="H19" i="13"/>
  <c r="I19" i="13"/>
  <c r="F19" i="13"/>
  <c r="F18" i="13"/>
  <c r="F16" i="13"/>
  <c r="F15" i="13"/>
  <c r="F14" i="13"/>
  <c r="E19" i="13"/>
  <c r="E18" i="13"/>
  <c r="E17" i="13"/>
  <c r="E16" i="13"/>
  <c r="E15" i="13"/>
  <c r="E14" i="13"/>
  <c r="E13" i="13"/>
  <c r="C14" i="13"/>
  <c r="C15" i="13"/>
  <c r="C16" i="13"/>
  <c r="C17" i="13"/>
  <c r="C18" i="13"/>
  <c r="C19" i="13"/>
  <c r="A19" i="13"/>
  <c r="A18" i="13"/>
  <c r="A17" i="13"/>
  <c r="A16" i="13"/>
  <c r="A15" i="13"/>
  <c r="A14" i="13"/>
  <c r="DB47" i="2"/>
  <c r="DB48" i="2"/>
  <c r="DB49" i="2"/>
  <c r="DB50" i="2"/>
  <c r="DB51" i="2"/>
  <c r="DB52" i="2"/>
  <c r="DB53" i="2"/>
  <c r="DB54" i="2"/>
  <c r="DB55" i="2"/>
  <c r="DB56" i="2"/>
  <c r="DB57" i="2"/>
  <c r="CI52" i="9"/>
  <c r="CJ52" i="9"/>
  <c r="CK52" i="9"/>
  <c r="CL52" i="9"/>
  <c r="CM52" i="9"/>
  <c r="CN52" i="9"/>
  <c r="CO52" i="9"/>
  <c r="CP52" i="9"/>
  <c r="CQ52" i="9"/>
  <c r="CR52" i="9"/>
  <c r="CS52" i="9"/>
  <c r="CT52" i="9"/>
  <c r="CU52" i="9"/>
  <c r="CV52" i="9"/>
  <c r="CW52" i="9"/>
  <c r="CX52" i="9"/>
  <c r="CY52" i="9"/>
  <c r="CZ52" i="9"/>
  <c r="DA52" i="9"/>
  <c r="DB52" i="9"/>
  <c r="DC52" i="9"/>
  <c r="DD52" i="9"/>
  <c r="DE52" i="9"/>
  <c r="DF52" i="9"/>
  <c r="DG52" i="9"/>
  <c r="DH52" i="9"/>
  <c r="DI52" i="9"/>
  <c r="DJ52" i="9"/>
  <c r="DK52" i="9"/>
  <c r="DL52" i="9"/>
  <c r="DM52" i="9"/>
  <c r="DN52" i="9"/>
  <c r="DO52" i="9"/>
  <c r="DP52" i="9"/>
  <c r="DQ52" i="9"/>
  <c r="DR52" i="9"/>
  <c r="DS52" i="9"/>
  <c r="DT52" i="9"/>
  <c r="DU52" i="9"/>
  <c r="DV52" i="9"/>
  <c r="DW52" i="9"/>
  <c r="DX52" i="9"/>
  <c r="CI51" i="9"/>
  <c r="CJ51" i="9"/>
  <c r="CK51" i="9"/>
  <c r="CL51" i="9"/>
  <c r="CM51" i="9"/>
  <c r="CN51" i="9"/>
  <c r="CO51" i="9"/>
  <c r="CP51" i="9"/>
  <c r="CQ51" i="9"/>
  <c r="CR51" i="9"/>
  <c r="CS51" i="9"/>
  <c r="CT51" i="9"/>
  <c r="CU51" i="9"/>
  <c r="CV51" i="9"/>
  <c r="CW51" i="9"/>
  <c r="CX51" i="9"/>
  <c r="CY51" i="9"/>
  <c r="CZ51" i="9"/>
  <c r="DA51" i="9"/>
  <c r="DB51" i="9"/>
  <c r="DC51" i="9"/>
  <c r="DD51" i="9"/>
  <c r="DE51" i="9"/>
  <c r="DF51" i="9"/>
  <c r="DG51" i="9"/>
  <c r="DH51" i="9"/>
  <c r="DI51" i="9"/>
  <c r="DJ51" i="9"/>
  <c r="DK51" i="9"/>
  <c r="DL51" i="9"/>
  <c r="DM51" i="9"/>
  <c r="DN51" i="9"/>
  <c r="DO51" i="9"/>
  <c r="DP51" i="9"/>
  <c r="DQ51" i="9"/>
  <c r="DR51" i="9"/>
  <c r="DS51" i="9"/>
  <c r="DT51" i="9"/>
  <c r="DU51" i="9"/>
  <c r="DV51" i="9"/>
  <c r="DW51" i="9"/>
  <c r="DX51" i="9"/>
  <c r="CI50" i="9"/>
  <c r="CJ50" i="9"/>
  <c r="CK50" i="9"/>
  <c r="CL50" i="9"/>
  <c r="CM50" i="9"/>
  <c r="CN50" i="9"/>
  <c r="CO50" i="9"/>
  <c r="CP50" i="9"/>
  <c r="CQ50" i="9"/>
  <c r="CR50" i="9"/>
  <c r="CS50" i="9"/>
  <c r="CT50" i="9"/>
  <c r="CU50" i="9"/>
  <c r="CV50" i="9"/>
  <c r="CW50" i="9"/>
  <c r="CX50" i="9"/>
  <c r="CY50" i="9"/>
  <c r="CZ50" i="9"/>
  <c r="DA50" i="9"/>
  <c r="DB50" i="9"/>
  <c r="DC50" i="9"/>
  <c r="DD50" i="9"/>
  <c r="DE50" i="9"/>
  <c r="DF50" i="9"/>
  <c r="DG50" i="9"/>
  <c r="DH50" i="9"/>
  <c r="DI50" i="9"/>
  <c r="DJ50" i="9"/>
  <c r="DK50" i="9"/>
  <c r="DL50" i="9"/>
  <c r="DM50" i="9"/>
  <c r="DN50" i="9"/>
  <c r="DO50" i="9"/>
  <c r="DP50" i="9"/>
  <c r="DQ50" i="9"/>
  <c r="DR50" i="9"/>
  <c r="DS50" i="9"/>
  <c r="DT50" i="9"/>
  <c r="DU50" i="9"/>
  <c r="DV50" i="9"/>
  <c r="DW50" i="9"/>
  <c r="DX50" i="9"/>
  <c r="CI55" i="9"/>
  <c r="CJ55" i="9"/>
  <c r="CK55" i="9"/>
  <c r="CL55" i="9"/>
  <c r="CM55" i="9"/>
  <c r="CN55" i="9"/>
  <c r="CO55" i="9"/>
  <c r="CP55" i="9"/>
  <c r="CQ55" i="9"/>
  <c r="CR55" i="9"/>
  <c r="CS55" i="9"/>
  <c r="CT55" i="9"/>
  <c r="CU55" i="9"/>
  <c r="CV55" i="9"/>
  <c r="CW55" i="9"/>
  <c r="CX55" i="9"/>
  <c r="CY55" i="9"/>
  <c r="CZ55" i="9"/>
  <c r="DA55" i="9"/>
  <c r="DB55" i="9"/>
  <c r="DC55" i="9"/>
  <c r="DD55" i="9"/>
  <c r="DE55" i="9"/>
  <c r="DF55" i="9"/>
  <c r="DG55" i="9"/>
  <c r="DH55" i="9"/>
  <c r="DI55" i="9"/>
  <c r="DJ55" i="9"/>
  <c r="DK55" i="9"/>
  <c r="DL55" i="9"/>
  <c r="DM55" i="9"/>
  <c r="DN55" i="9"/>
  <c r="DO55" i="9"/>
  <c r="DP55" i="9"/>
  <c r="DQ55" i="9"/>
  <c r="DR55" i="9"/>
  <c r="DS55" i="9"/>
  <c r="DT55" i="9"/>
  <c r="DU55" i="9"/>
  <c r="DV55" i="9"/>
  <c r="DW55" i="9"/>
  <c r="DX55" i="9"/>
  <c r="CI54" i="9"/>
  <c r="CJ54" i="9"/>
  <c r="CK54" i="9"/>
  <c r="CL54" i="9"/>
  <c r="CM54" i="9"/>
  <c r="CN54" i="9"/>
  <c r="CO54" i="9"/>
  <c r="CP54" i="9"/>
  <c r="CQ54" i="9"/>
  <c r="CR54" i="9"/>
  <c r="CS54" i="9"/>
  <c r="CT54" i="9"/>
  <c r="CU54" i="9"/>
  <c r="CV54" i="9"/>
  <c r="CW54" i="9"/>
  <c r="CX54" i="9"/>
  <c r="CY54" i="9"/>
  <c r="CZ54" i="9"/>
  <c r="DA54" i="9"/>
  <c r="DB54" i="9"/>
  <c r="DC54" i="9"/>
  <c r="DD54" i="9"/>
  <c r="DE54" i="9"/>
  <c r="DF54" i="9"/>
  <c r="DG54" i="9"/>
  <c r="DH54" i="9"/>
  <c r="DI54" i="9"/>
  <c r="DJ54" i="9"/>
  <c r="DK54" i="9"/>
  <c r="DL54" i="9"/>
  <c r="DM54" i="9"/>
  <c r="DN54" i="9"/>
  <c r="DO54" i="9"/>
  <c r="DP54" i="9"/>
  <c r="DQ54" i="9"/>
  <c r="DR54" i="9"/>
  <c r="DS54" i="9"/>
  <c r="DT54" i="9"/>
  <c r="DU54" i="9"/>
  <c r="DV54" i="9"/>
  <c r="DW54" i="9"/>
  <c r="DX54" i="9"/>
  <c r="D65" i="13"/>
  <c r="B49" i="13"/>
  <c r="C49" i="13"/>
  <c r="B54" i="13"/>
  <c r="G54" i="13"/>
  <c r="B44" i="13"/>
  <c r="C44" i="13"/>
  <c r="G44" i="13"/>
  <c r="E44" i="13"/>
  <c r="E54" i="13"/>
  <c r="F44" i="13"/>
  <c r="B64" i="13"/>
  <c r="G52" i="9"/>
  <c r="H52" i="9"/>
  <c r="I52" i="9"/>
  <c r="J52" i="9"/>
  <c r="K52" i="9"/>
  <c r="L52" i="9"/>
  <c r="N52" i="9"/>
  <c r="O52" i="9"/>
  <c r="P52" i="9"/>
  <c r="DK50" i="2" s="1"/>
  <c r="Q52" i="9"/>
  <c r="R52" i="9"/>
  <c r="S52" i="9"/>
  <c r="D52" i="9"/>
  <c r="E52" i="9" s="1"/>
  <c r="A52" i="9"/>
  <c r="G51" i="9"/>
  <c r="H51" i="9"/>
  <c r="I51" i="9"/>
  <c r="J51" i="9"/>
  <c r="K51" i="9"/>
  <c r="L51" i="9"/>
  <c r="N51" i="9"/>
  <c r="O51" i="9"/>
  <c r="P51" i="9"/>
  <c r="Q51" i="9"/>
  <c r="R51" i="9"/>
  <c r="S51" i="9"/>
  <c r="D51" i="9"/>
  <c r="E51" i="9" s="1"/>
  <c r="A51" i="9"/>
  <c r="G50" i="9"/>
  <c r="H50" i="9"/>
  <c r="I50" i="9"/>
  <c r="J50" i="9"/>
  <c r="K50" i="9"/>
  <c r="DG48" i="2" s="1"/>
  <c r="L50" i="9"/>
  <c r="N50" i="9"/>
  <c r="O50" i="9"/>
  <c r="P50" i="9"/>
  <c r="Q50" i="9"/>
  <c r="R50" i="9"/>
  <c r="S50" i="9"/>
  <c r="D50" i="9"/>
  <c r="E50" i="9" s="1"/>
  <c r="A50" i="9"/>
  <c r="G55" i="9"/>
  <c r="H55" i="9"/>
  <c r="I55" i="9"/>
  <c r="J55" i="9"/>
  <c r="K55" i="9"/>
  <c r="L55" i="9"/>
  <c r="N55" i="9"/>
  <c r="O55" i="9"/>
  <c r="P55" i="9"/>
  <c r="Q55" i="9"/>
  <c r="R55" i="9"/>
  <c r="S55" i="9"/>
  <c r="D55" i="9"/>
  <c r="E55" i="9" s="1"/>
  <c r="A55" i="9"/>
  <c r="G54" i="9"/>
  <c r="H54" i="9"/>
  <c r="I54" i="9"/>
  <c r="J54" i="9"/>
  <c r="K54" i="9"/>
  <c r="L54" i="9"/>
  <c r="N54" i="9"/>
  <c r="O54" i="9"/>
  <c r="P54" i="9"/>
  <c r="Q54" i="9"/>
  <c r="R54" i="9"/>
  <c r="S54" i="9"/>
  <c r="D54" i="9"/>
  <c r="E54" i="9" s="1"/>
  <c r="A54" i="9"/>
  <c r="F56" i="13"/>
  <c r="F55" i="13"/>
  <c r="G55" i="13"/>
  <c r="E69" i="13"/>
  <c r="F69" i="13"/>
  <c r="B69" i="13"/>
  <c r="C69" i="13"/>
  <c r="G69" i="13"/>
  <c r="G65" i="13"/>
  <c r="F66" i="13"/>
  <c r="D66" i="13"/>
  <c r="D67" i="13"/>
  <c r="F65" i="13"/>
  <c r="E64" i="13"/>
  <c r="F64" i="13"/>
  <c r="G64" i="13"/>
  <c r="C54" i="13"/>
  <c r="D56" i="13"/>
  <c r="D57" i="13"/>
  <c r="F57" i="13"/>
  <c r="F54" i="13"/>
  <c r="D51" i="13"/>
  <c r="D52" i="13"/>
  <c r="E49" i="13"/>
  <c r="F49" i="13"/>
  <c r="G49" i="13"/>
  <c r="F45" i="13"/>
  <c r="G45" i="13"/>
  <c r="D46" i="13"/>
  <c r="D47" i="13"/>
  <c r="V13" i="13"/>
  <c r="D68" i="13"/>
  <c r="F68" i="13"/>
  <c r="F67" i="13"/>
  <c r="D58" i="13"/>
  <c r="F58" i="13"/>
  <c r="D48" i="13"/>
  <c r="F48" i="13"/>
  <c r="F47" i="13"/>
  <c r="U16" i="18"/>
  <c r="S16" i="18"/>
  <c r="U14" i="18"/>
  <c r="S14" i="18"/>
  <c r="U13" i="18"/>
  <c r="S13" i="18"/>
  <c r="U12" i="18"/>
  <c r="S12" i="18"/>
  <c r="U11" i="18"/>
  <c r="S11" i="18"/>
  <c r="B45" i="4"/>
  <c r="C45" i="4"/>
  <c r="C46" i="4"/>
  <c r="E47" i="4"/>
  <c r="C47" i="4"/>
  <c r="C48" i="4"/>
  <c r="E45" i="4"/>
  <c r="D45" i="4"/>
  <c r="F45" i="4"/>
  <c r="D27" i="12"/>
  <c r="F27" i="12"/>
  <c r="D28" i="12"/>
  <c r="D29" i="12"/>
  <c r="D30" i="12"/>
  <c r="J50" i="10"/>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B115" i="7"/>
  <c r="B118" i="7"/>
  <c r="B119" i="7"/>
  <c r="B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C70" i="7"/>
  <c r="B70" i="7"/>
  <c r="F26" i="9"/>
  <c r="E11" i="12"/>
  <c r="F11" i="12"/>
  <c r="H11" i="12"/>
  <c r="I11" i="12"/>
  <c r="P11" i="12"/>
  <c r="T26" i="9" s="1"/>
  <c r="DU26" i="2" s="1"/>
  <c r="R11" i="12"/>
  <c r="S11" i="12"/>
  <c r="U26" i="9" s="1"/>
  <c r="DC26" i="2" s="1"/>
  <c r="GY26" i="2" s="1"/>
  <c r="C11" i="12"/>
  <c r="DB26" i="2"/>
  <c r="D26" i="9"/>
  <c r="E26" i="9" s="1"/>
  <c r="C34" i="7"/>
  <c r="S13" i="13"/>
  <c r="S12" i="13"/>
  <c r="D93" i="14"/>
  <c r="D94" i="14"/>
  <c r="D88" i="14"/>
  <c r="G88" i="14"/>
  <c r="D83" i="14"/>
  <c r="F83" i="14"/>
  <c r="D78" i="14"/>
  <c r="E78" i="14"/>
  <c r="D73" i="14"/>
  <c r="C73" i="14"/>
  <c r="D68" i="14"/>
  <c r="C68" i="14"/>
  <c r="D63" i="14"/>
  <c r="B63" i="14"/>
  <c r="D58" i="14"/>
  <c r="G58" i="14"/>
  <c r="D53" i="14"/>
  <c r="D54" i="14"/>
  <c r="D48" i="14"/>
  <c r="G48" i="14"/>
  <c r="D43" i="14"/>
  <c r="F43" i="14"/>
  <c r="D38" i="14"/>
  <c r="D33" i="14"/>
  <c r="F33" i="14"/>
  <c r="D28" i="14"/>
  <c r="C28" i="14"/>
  <c r="V23" i="14"/>
  <c r="U23" i="14"/>
  <c r="T23" i="14"/>
  <c r="S23" i="14"/>
  <c r="R23" i="14"/>
  <c r="P23" i="14"/>
  <c r="I23" i="14"/>
  <c r="H23" i="14"/>
  <c r="F23" i="14"/>
  <c r="E23" i="14"/>
  <c r="C23" i="14"/>
  <c r="A23" i="14"/>
  <c r="V22" i="14"/>
  <c r="U22" i="14"/>
  <c r="T22" i="14"/>
  <c r="S22" i="14"/>
  <c r="U68" i="9" s="1"/>
  <c r="DC68" i="2" s="1"/>
  <c r="GY68" i="2" s="1"/>
  <c r="R22" i="14"/>
  <c r="P22" i="14"/>
  <c r="I22" i="14"/>
  <c r="H22" i="14"/>
  <c r="F22" i="14"/>
  <c r="E22" i="14"/>
  <c r="C22" i="14"/>
  <c r="A22" i="14"/>
  <c r="V21" i="14"/>
  <c r="U21" i="14"/>
  <c r="T21" i="14"/>
  <c r="S21" i="14"/>
  <c r="R21" i="14"/>
  <c r="P21" i="14"/>
  <c r="I21" i="14"/>
  <c r="H21" i="14"/>
  <c r="F21" i="14"/>
  <c r="E21" i="14"/>
  <c r="C21" i="14"/>
  <c r="A21" i="14"/>
  <c r="V20" i="14"/>
  <c r="U20" i="14"/>
  <c r="T20" i="14"/>
  <c r="S20" i="14"/>
  <c r="U66" i="9" s="1"/>
  <c r="DC66" i="2" s="1"/>
  <c r="GY66" i="2" s="1"/>
  <c r="R20" i="14"/>
  <c r="P20" i="14"/>
  <c r="I20" i="14"/>
  <c r="H20" i="14"/>
  <c r="F20" i="14"/>
  <c r="E20" i="14"/>
  <c r="C20" i="14"/>
  <c r="A20" i="14"/>
  <c r="V19" i="14"/>
  <c r="U19" i="14"/>
  <c r="T19" i="14"/>
  <c r="S19" i="14"/>
  <c r="R19" i="14"/>
  <c r="P19" i="14"/>
  <c r="I19" i="14"/>
  <c r="H19" i="14"/>
  <c r="F19" i="14"/>
  <c r="E19" i="14"/>
  <c r="C19" i="14"/>
  <c r="A19" i="14"/>
  <c r="V18" i="14"/>
  <c r="U18" i="14"/>
  <c r="T18" i="14"/>
  <c r="S18" i="14"/>
  <c r="R18" i="14"/>
  <c r="P18" i="14"/>
  <c r="I18" i="14"/>
  <c r="H18" i="14"/>
  <c r="F18" i="14"/>
  <c r="E18" i="14"/>
  <c r="C18" i="14"/>
  <c r="A18" i="14"/>
  <c r="V17" i="14"/>
  <c r="U17" i="14"/>
  <c r="T17" i="14"/>
  <c r="S17" i="14"/>
  <c r="R17" i="14"/>
  <c r="P17" i="14"/>
  <c r="I17" i="14"/>
  <c r="H17" i="14"/>
  <c r="F17" i="14"/>
  <c r="E17" i="14"/>
  <c r="C17" i="14"/>
  <c r="A17" i="14"/>
  <c r="V16" i="14"/>
  <c r="U16" i="14"/>
  <c r="T16" i="14"/>
  <c r="S16" i="14"/>
  <c r="U62" i="9" s="1"/>
  <c r="DC61" i="2" s="1"/>
  <c r="GY61" i="2" s="1"/>
  <c r="R16" i="14"/>
  <c r="P16" i="14"/>
  <c r="I16" i="14"/>
  <c r="H16" i="14"/>
  <c r="F16" i="14"/>
  <c r="E16" i="14"/>
  <c r="C16" i="14"/>
  <c r="A16" i="14"/>
  <c r="V15" i="14"/>
  <c r="U15" i="14"/>
  <c r="T15" i="14"/>
  <c r="S15" i="14"/>
  <c r="R15" i="14"/>
  <c r="P15" i="14"/>
  <c r="I15" i="14"/>
  <c r="H15" i="14"/>
  <c r="F15" i="14"/>
  <c r="E15" i="14"/>
  <c r="C15" i="14"/>
  <c r="A15" i="14"/>
  <c r="V14" i="14"/>
  <c r="U14" i="14"/>
  <c r="T14" i="14"/>
  <c r="S14" i="14"/>
  <c r="U60" i="9" s="1"/>
  <c r="DC60" i="2" s="1"/>
  <c r="GY60" i="2" s="1"/>
  <c r="R14" i="14"/>
  <c r="P14" i="14"/>
  <c r="I14" i="14"/>
  <c r="H14" i="14"/>
  <c r="F14" i="14"/>
  <c r="E14" i="14"/>
  <c r="C14" i="14"/>
  <c r="A14" i="14"/>
  <c r="V13" i="14"/>
  <c r="U13" i="14"/>
  <c r="T13" i="14"/>
  <c r="S13" i="14"/>
  <c r="R13" i="14"/>
  <c r="P13" i="14"/>
  <c r="I13" i="14"/>
  <c r="H13" i="14"/>
  <c r="F13" i="14"/>
  <c r="E13" i="14"/>
  <c r="C13" i="14"/>
  <c r="A13" i="14"/>
  <c r="V12" i="14"/>
  <c r="U12" i="14"/>
  <c r="R12" i="14"/>
  <c r="P12" i="14"/>
  <c r="T58" i="9" s="1"/>
  <c r="DU58" i="2" s="1"/>
  <c r="I12" i="14"/>
  <c r="H12" i="14"/>
  <c r="F12" i="14"/>
  <c r="E12" i="14"/>
  <c r="C12" i="14"/>
  <c r="A12" i="14"/>
  <c r="V11" i="14"/>
  <c r="U11" i="14"/>
  <c r="W57" i="9" s="1"/>
  <c r="DE57" i="2" s="1"/>
  <c r="HA57" i="2" s="1"/>
  <c r="T11" i="14"/>
  <c r="S11" i="14"/>
  <c r="R11" i="14"/>
  <c r="P11" i="14"/>
  <c r="I11" i="14"/>
  <c r="H11" i="14"/>
  <c r="F11" i="14"/>
  <c r="E11" i="14"/>
  <c r="C11" i="14"/>
  <c r="A11" i="14"/>
  <c r="V10" i="14"/>
  <c r="U10" i="14"/>
  <c r="T10" i="14"/>
  <c r="S10" i="14"/>
  <c r="R10" i="14"/>
  <c r="P10" i="14"/>
  <c r="T56" i="9" s="1"/>
  <c r="DU56" i="2" s="1"/>
  <c r="I10" i="14"/>
  <c r="H10" i="14"/>
  <c r="F10" i="14"/>
  <c r="E10" i="14"/>
  <c r="C10" i="14"/>
  <c r="A10" i="14"/>
  <c r="D59" i="13"/>
  <c r="F59" i="13"/>
  <c r="D39" i="13"/>
  <c r="G39" i="13"/>
  <c r="D34" i="13"/>
  <c r="D35" i="13"/>
  <c r="D29" i="13"/>
  <c r="C29" i="13"/>
  <c r="D24" i="13"/>
  <c r="C24" i="13"/>
  <c r="P17" i="13"/>
  <c r="F17" i="13"/>
  <c r="U13" i="13"/>
  <c r="T13" i="13"/>
  <c r="R13" i="13"/>
  <c r="P13" i="13"/>
  <c r="I13" i="13"/>
  <c r="H13" i="13"/>
  <c r="F13" i="13"/>
  <c r="C13" i="13"/>
  <c r="A13" i="13"/>
  <c r="U12" i="13"/>
  <c r="T12" i="13"/>
  <c r="R12" i="13"/>
  <c r="P12" i="13"/>
  <c r="I12" i="13"/>
  <c r="H12" i="13"/>
  <c r="F12" i="13"/>
  <c r="E12" i="13"/>
  <c r="C12" i="13"/>
  <c r="A12" i="13"/>
  <c r="U11" i="13"/>
  <c r="T11" i="13"/>
  <c r="S11" i="13"/>
  <c r="U47" i="9" s="1"/>
  <c r="DC47" i="2" s="1"/>
  <c r="GY47" i="2" s="1"/>
  <c r="R11" i="13"/>
  <c r="P11" i="13"/>
  <c r="I11" i="13"/>
  <c r="H11" i="13"/>
  <c r="F11" i="13"/>
  <c r="E11" i="13"/>
  <c r="C11" i="13"/>
  <c r="A11" i="13"/>
  <c r="U10" i="13"/>
  <c r="T10" i="13"/>
  <c r="S10" i="13"/>
  <c r="R10" i="13"/>
  <c r="P10" i="13"/>
  <c r="I10" i="13"/>
  <c r="H10" i="13"/>
  <c r="F10" i="13"/>
  <c r="E10" i="13"/>
  <c r="C10" i="13"/>
  <c r="A10" i="13"/>
  <c r="D87" i="18"/>
  <c r="D88" i="18"/>
  <c r="D82" i="18"/>
  <c r="D83" i="18"/>
  <c r="D77" i="18"/>
  <c r="G77" i="18"/>
  <c r="D72" i="18"/>
  <c r="C72" i="18"/>
  <c r="D67" i="18"/>
  <c r="C67" i="18"/>
  <c r="D62" i="18"/>
  <c r="B62" i="18"/>
  <c r="D57" i="18"/>
  <c r="C57" i="18"/>
  <c r="D52" i="18"/>
  <c r="D53" i="18"/>
  <c r="D47" i="18"/>
  <c r="D48" i="18"/>
  <c r="F49" i="18"/>
  <c r="D42" i="18"/>
  <c r="D43" i="18"/>
  <c r="D37" i="18"/>
  <c r="B37" i="18"/>
  <c r="D32" i="18"/>
  <c r="G32" i="18"/>
  <c r="D27" i="18"/>
  <c r="E27" i="18"/>
  <c r="R22" i="18"/>
  <c r="P22" i="18"/>
  <c r="T45" i="9" s="1"/>
  <c r="DU45" i="2" s="1"/>
  <c r="I22" i="18"/>
  <c r="H22" i="18"/>
  <c r="F22" i="18"/>
  <c r="E22" i="18"/>
  <c r="C22" i="18"/>
  <c r="A22" i="18"/>
  <c r="V21" i="18"/>
  <c r="U21" i="18"/>
  <c r="W44" i="9" s="1"/>
  <c r="DE39" i="2" s="1"/>
  <c r="HA39" i="2" s="1"/>
  <c r="T21" i="18"/>
  <c r="S21" i="18"/>
  <c r="R21" i="18"/>
  <c r="P21" i="18"/>
  <c r="I21" i="18"/>
  <c r="H21" i="18"/>
  <c r="F21" i="18"/>
  <c r="E21" i="18"/>
  <c r="C21" i="18"/>
  <c r="A21" i="18"/>
  <c r="V20" i="18"/>
  <c r="U20" i="18"/>
  <c r="T20" i="18"/>
  <c r="S20" i="18"/>
  <c r="R20" i="18"/>
  <c r="P20" i="18"/>
  <c r="T43" i="9" s="1"/>
  <c r="DU43" i="2" s="1"/>
  <c r="I20" i="18"/>
  <c r="H20" i="18"/>
  <c r="F20" i="18"/>
  <c r="E20" i="18"/>
  <c r="C20" i="18"/>
  <c r="A20" i="18"/>
  <c r="V19" i="18"/>
  <c r="U19" i="18"/>
  <c r="W42" i="9" s="1"/>
  <c r="DE44" i="2" s="1"/>
  <c r="HA44" i="2" s="1"/>
  <c r="T19" i="18"/>
  <c r="S19" i="18"/>
  <c r="R19" i="18"/>
  <c r="P19" i="18"/>
  <c r="I19" i="18"/>
  <c r="H19" i="18"/>
  <c r="F19" i="18"/>
  <c r="E19" i="18"/>
  <c r="C19" i="18"/>
  <c r="A19" i="18"/>
  <c r="V18" i="18"/>
  <c r="U18" i="18"/>
  <c r="T18" i="18"/>
  <c r="S18" i="18"/>
  <c r="R18" i="18"/>
  <c r="P18" i="18"/>
  <c r="T41" i="9" s="1"/>
  <c r="DU35" i="2" s="1"/>
  <c r="I18" i="18"/>
  <c r="H18" i="18"/>
  <c r="F18" i="18"/>
  <c r="E18" i="18"/>
  <c r="C18" i="18"/>
  <c r="A18" i="18"/>
  <c r="V17" i="18"/>
  <c r="U17" i="18"/>
  <c r="W40" i="9" s="1"/>
  <c r="DE34" i="2" s="1"/>
  <c r="HA34" i="2" s="1"/>
  <c r="T17" i="18"/>
  <c r="S17" i="18"/>
  <c r="R17" i="18"/>
  <c r="P17" i="18"/>
  <c r="I17" i="18"/>
  <c r="H17" i="18"/>
  <c r="F17" i="18"/>
  <c r="E17" i="18"/>
  <c r="C17" i="18"/>
  <c r="A17" i="18"/>
  <c r="R16" i="18"/>
  <c r="P16" i="18"/>
  <c r="I16" i="18"/>
  <c r="H16" i="18"/>
  <c r="F16" i="18"/>
  <c r="E16" i="18"/>
  <c r="C16" i="18"/>
  <c r="A16" i="18"/>
  <c r="V15" i="18"/>
  <c r="U15" i="18"/>
  <c r="T15" i="18"/>
  <c r="S15" i="18"/>
  <c r="R15" i="18"/>
  <c r="P15" i="18"/>
  <c r="T38" i="9" s="1"/>
  <c r="DU38" i="2" s="1"/>
  <c r="I15" i="18"/>
  <c r="H15" i="18"/>
  <c r="F15" i="18"/>
  <c r="E15" i="18"/>
  <c r="C15" i="18"/>
  <c r="A15" i="18"/>
  <c r="R14" i="18"/>
  <c r="P14" i="18"/>
  <c r="T37" i="9" s="1"/>
  <c r="DU37" i="2" s="1"/>
  <c r="I14" i="18"/>
  <c r="H14" i="18"/>
  <c r="F14" i="18"/>
  <c r="E14" i="18"/>
  <c r="C14" i="18"/>
  <c r="A14" i="18"/>
  <c r="R13" i="18"/>
  <c r="P13" i="18"/>
  <c r="T36" i="9" s="1"/>
  <c r="DU36" i="2" s="1"/>
  <c r="I13" i="18"/>
  <c r="H13" i="18"/>
  <c r="F13" i="18"/>
  <c r="E13" i="18"/>
  <c r="C13" i="18"/>
  <c r="A13" i="18"/>
  <c r="R12" i="18"/>
  <c r="P12" i="18"/>
  <c r="I12" i="18"/>
  <c r="H12" i="18"/>
  <c r="F12" i="18"/>
  <c r="E12" i="18"/>
  <c r="C12" i="18"/>
  <c r="A12" i="18"/>
  <c r="R11" i="18"/>
  <c r="P11" i="18"/>
  <c r="T34" i="9" s="1"/>
  <c r="DU42" i="2" s="1"/>
  <c r="I11" i="18"/>
  <c r="H11" i="18"/>
  <c r="F11" i="18"/>
  <c r="E11" i="18"/>
  <c r="C11" i="18"/>
  <c r="A11" i="18"/>
  <c r="U10" i="18"/>
  <c r="R10" i="18"/>
  <c r="P10" i="18"/>
  <c r="I10" i="18"/>
  <c r="H10" i="18"/>
  <c r="F10" i="18"/>
  <c r="E10" i="18"/>
  <c r="C10" i="18"/>
  <c r="A10" i="18"/>
  <c r="D57" i="12"/>
  <c r="G57" i="12"/>
  <c r="D52" i="12"/>
  <c r="G52" i="12"/>
  <c r="D47" i="12"/>
  <c r="G47" i="12"/>
  <c r="D42" i="12"/>
  <c r="C42" i="12"/>
  <c r="D37" i="12"/>
  <c r="F37" i="12"/>
  <c r="D32" i="12"/>
  <c r="G32" i="12"/>
  <c r="D22" i="12"/>
  <c r="E22" i="12"/>
  <c r="V17" i="12"/>
  <c r="U17" i="12"/>
  <c r="R17" i="12"/>
  <c r="P17" i="12"/>
  <c r="I17" i="12"/>
  <c r="H17" i="12"/>
  <c r="F17" i="12"/>
  <c r="E17" i="12"/>
  <c r="C17" i="12"/>
  <c r="A17" i="12"/>
  <c r="U16" i="12"/>
  <c r="S16" i="12"/>
  <c r="R16" i="12"/>
  <c r="P16" i="12"/>
  <c r="I16" i="12"/>
  <c r="H16" i="12"/>
  <c r="F16" i="12"/>
  <c r="E16" i="12"/>
  <c r="C16" i="12"/>
  <c r="A16" i="12"/>
  <c r="U15" i="12"/>
  <c r="S15" i="12"/>
  <c r="R15" i="12"/>
  <c r="P15" i="12"/>
  <c r="I15" i="12"/>
  <c r="H15" i="12"/>
  <c r="F15" i="12"/>
  <c r="E15" i="12"/>
  <c r="C15" i="12"/>
  <c r="A15" i="12"/>
  <c r="U14" i="12"/>
  <c r="S14" i="12"/>
  <c r="R14" i="12"/>
  <c r="P14" i="12"/>
  <c r="I14" i="12"/>
  <c r="H14" i="12"/>
  <c r="F14" i="12"/>
  <c r="E14" i="12"/>
  <c r="C14" i="12"/>
  <c r="A14" i="12"/>
  <c r="U13" i="12"/>
  <c r="S13" i="12"/>
  <c r="R13" i="12"/>
  <c r="P13" i="12"/>
  <c r="I13" i="12"/>
  <c r="H13" i="12"/>
  <c r="F13" i="12"/>
  <c r="E13" i="12"/>
  <c r="C13" i="12"/>
  <c r="A13" i="12"/>
  <c r="U12" i="12"/>
  <c r="W27" i="9" s="1"/>
  <c r="DE27" i="2" s="1"/>
  <c r="HA27" i="2" s="1"/>
  <c r="S12" i="12"/>
  <c r="R12" i="12"/>
  <c r="P12" i="12"/>
  <c r="I12" i="12"/>
  <c r="H12" i="12"/>
  <c r="F12" i="12"/>
  <c r="E12" i="12"/>
  <c r="C12" i="12"/>
  <c r="A12" i="12"/>
  <c r="S10" i="12"/>
  <c r="R10" i="12"/>
  <c r="P10" i="12"/>
  <c r="I10" i="12"/>
  <c r="H10" i="12"/>
  <c r="F10" i="12"/>
  <c r="E10" i="12"/>
  <c r="C10" i="12"/>
  <c r="A10" i="12"/>
  <c r="D87" i="11"/>
  <c r="F87" i="11"/>
  <c r="D82" i="11"/>
  <c r="G82" i="11"/>
  <c r="D77" i="11"/>
  <c r="D78" i="11"/>
  <c r="D72" i="11"/>
  <c r="D73" i="11"/>
  <c r="D67" i="11"/>
  <c r="B67" i="11"/>
  <c r="D62" i="11"/>
  <c r="E62" i="11"/>
  <c r="D57" i="11"/>
  <c r="F57" i="11"/>
  <c r="D52" i="11"/>
  <c r="G52" i="11"/>
  <c r="D47" i="11"/>
  <c r="G47" i="11"/>
  <c r="D42" i="11"/>
  <c r="B42" i="11"/>
  <c r="D37" i="11"/>
  <c r="C37" i="11"/>
  <c r="D32" i="11"/>
  <c r="C32" i="11"/>
  <c r="D27" i="11"/>
  <c r="D28" i="11"/>
  <c r="V22" i="11"/>
  <c r="U22" i="11"/>
  <c r="T22" i="11"/>
  <c r="S22" i="11"/>
  <c r="U24" i="9" s="1"/>
  <c r="DC24" i="2" s="1"/>
  <c r="GY24" i="2" s="1"/>
  <c r="R22" i="11"/>
  <c r="P22" i="11"/>
  <c r="I22" i="11"/>
  <c r="H22" i="11"/>
  <c r="F22" i="11"/>
  <c r="E22" i="11"/>
  <c r="C22" i="11"/>
  <c r="A22" i="11"/>
  <c r="V21" i="11"/>
  <c r="U21" i="11"/>
  <c r="T21" i="11"/>
  <c r="S21" i="11"/>
  <c r="R21" i="11"/>
  <c r="P21" i="11"/>
  <c r="I21" i="11"/>
  <c r="H21" i="11"/>
  <c r="F21" i="11"/>
  <c r="E21" i="11"/>
  <c r="C21" i="11"/>
  <c r="A21" i="11"/>
  <c r="V20" i="11"/>
  <c r="U20" i="11"/>
  <c r="T20" i="11"/>
  <c r="S20" i="11"/>
  <c r="U22" i="9" s="1"/>
  <c r="DC22" i="2" s="1"/>
  <c r="GY22" i="2" s="1"/>
  <c r="R20" i="11"/>
  <c r="P20" i="11"/>
  <c r="I20" i="11"/>
  <c r="H20" i="11"/>
  <c r="F20" i="11"/>
  <c r="E20" i="11"/>
  <c r="C20" i="11"/>
  <c r="A20" i="11"/>
  <c r="V19" i="11"/>
  <c r="U19" i="11"/>
  <c r="T19" i="11"/>
  <c r="S19" i="11"/>
  <c r="R19" i="11"/>
  <c r="P19" i="11"/>
  <c r="I19" i="11"/>
  <c r="H19" i="11"/>
  <c r="F19" i="11"/>
  <c r="E19" i="11"/>
  <c r="C19" i="11"/>
  <c r="A19" i="11"/>
  <c r="V18" i="11"/>
  <c r="U18" i="11"/>
  <c r="T18" i="11"/>
  <c r="S18" i="11"/>
  <c r="U20" i="9" s="1"/>
  <c r="DC20" i="2" s="1"/>
  <c r="GY20" i="2" s="1"/>
  <c r="R18" i="11"/>
  <c r="P18" i="11"/>
  <c r="I18" i="11"/>
  <c r="H18" i="11"/>
  <c r="F18" i="11"/>
  <c r="E18" i="11"/>
  <c r="C18" i="11"/>
  <c r="A18" i="11"/>
  <c r="V17" i="11"/>
  <c r="U17" i="11"/>
  <c r="T17" i="11"/>
  <c r="S17" i="11"/>
  <c r="R17" i="11"/>
  <c r="P17" i="11"/>
  <c r="I17" i="11"/>
  <c r="H17" i="11"/>
  <c r="F17" i="11"/>
  <c r="E17" i="11"/>
  <c r="C17" i="11"/>
  <c r="A17" i="11"/>
  <c r="V16" i="11"/>
  <c r="U16" i="11"/>
  <c r="T16" i="11"/>
  <c r="S16" i="11"/>
  <c r="U18" i="9" s="1"/>
  <c r="DC18" i="2" s="1"/>
  <c r="GY18" i="2" s="1"/>
  <c r="R16" i="11"/>
  <c r="P16" i="11"/>
  <c r="I16" i="11"/>
  <c r="H16" i="11"/>
  <c r="F16" i="11"/>
  <c r="E16" i="11"/>
  <c r="C16" i="11"/>
  <c r="A16" i="11"/>
  <c r="V15" i="11"/>
  <c r="U15" i="11"/>
  <c r="T15" i="11"/>
  <c r="S15" i="11"/>
  <c r="R15" i="11"/>
  <c r="P15" i="11"/>
  <c r="I15" i="11"/>
  <c r="H15" i="11"/>
  <c r="F15" i="11"/>
  <c r="E15" i="11"/>
  <c r="C15" i="11"/>
  <c r="A15" i="11"/>
  <c r="V14" i="11"/>
  <c r="U14" i="11"/>
  <c r="T14" i="11"/>
  <c r="S14" i="11"/>
  <c r="R14" i="11"/>
  <c r="P14" i="11"/>
  <c r="I14" i="11"/>
  <c r="H14" i="11"/>
  <c r="F14" i="11"/>
  <c r="E14" i="11"/>
  <c r="C14" i="11"/>
  <c r="A14" i="11"/>
  <c r="V13" i="11"/>
  <c r="U13" i="11"/>
  <c r="T13" i="11"/>
  <c r="S13" i="11"/>
  <c r="R13" i="11"/>
  <c r="P13" i="11"/>
  <c r="I13" i="11"/>
  <c r="H13" i="11"/>
  <c r="F13" i="11"/>
  <c r="E13" i="11"/>
  <c r="C13" i="11"/>
  <c r="A13" i="11"/>
  <c r="V12" i="11"/>
  <c r="U12" i="11"/>
  <c r="T12" i="11"/>
  <c r="S12" i="11"/>
  <c r="U14" i="9" s="1"/>
  <c r="DC14" i="2" s="1"/>
  <c r="GY14" i="2" s="1"/>
  <c r="R12" i="11"/>
  <c r="P12" i="11"/>
  <c r="I12" i="11"/>
  <c r="H12" i="11"/>
  <c r="F12" i="11"/>
  <c r="E12" i="11"/>
  <c r="C12" i="11"/>
  <c r="A12" i="11"/>
  <c r="U11" i="11"/>
  <c r="S11" i="11"/>
  <c r="R11" i="11"/>
  <c r="P11" i="11"/>
  <c r="I11" i="11"/>
  <c r="H11" i="11"/>
  <c r="F11" i="11"/>
  <c r="E11" i="11"/>
  <c r="C11" i="11"/>
  <c r="A11" i="11"/>
  <c r="V10" i="11"/>
  <c r="U10" i="11"/>
  <c r="T10" i="11"/>
  <c r="S10" i="11"/>
  <c r="R10" i="11"/>
  <c r="P10" i="11"/>
  <c r="T12" i="9" s="1"/>
  <c r="DU12" i="2" s="1"/>
  <c r="I10" i="11"/>
  <c r="H10" i="11"/>
  <c r="F10" i="11"/>
  <c r="E10" i="11"/>
  <c r="C10" i="11"/>
  <c r="A10" i="11"/>
  <c r="C40" i="4"/>
  <c r="B40" i="4"/>
  <c r="C35" i="4"/>
  <c r="B35" i="4"/>
  <c r="C30" i="4"/>
  <c r="B30" i="4"/>
  <c r="C25" i="4"/>
  <c r="B25" i="4"/>
  <c r="C20" i="4"/>
  <c r="B20" i="4"/>
  <c r="AA15" i="4"/>
  <c r="Z15" i="4"/>
  <c r="Y15" i="4"/>
  <c r="X15" i="4"/>
  <c r="W15" i="4"/>
  <c r="U15" i="4"/>
  <c r="H15" i="4"/>
  <c r="G15" i="4"/>
  <c r="E15" i="4"/>
  <c r="D15" i="4"/>
  <c r="A15" i="4"/>
  <c r="AA14" i="4"/>
  <c r="Z14" i="4"/>
  <c r="Y14" i="4"/>
  <c r="X14" i="4"/>
  <c r="W14" i="4"/>
  <c r="U14" i="4"/>
  <c r="H14" i="4"/>
  <c r="G14" i="4"/>
  <c r="E14" i="4"/>
  <c r="D14" i="4"/>
  <c r="A14" i="4"/>
  <c r="AA13" i="4"/>
  <c r="Z13" i="4"/>
  <c r="Y13" i="4"/>
  <c r="X13" i="4"/>
  <c r="W13" i="4"/>
  <c r="U13" i="4"/>
  <c r="H13" i="4"/>
  <c r="G13" i="4"/>
  <c r="E13" i="4"/>
  <c r="D13" i="4"/>
  <c r="A13" i="4"/>
  <c r="AA12" i="4"/>
  <c r="Z12" i="4"/>
  <c r="Y12" i="4"/>
  <c r="X12" i="4"/>
  <c r="W12" i="4"/>
  <c r="U12" i="4"/>
  <c r="H12" i="4"/>
  <c r="G12" i="4"/>
  <c r="E12" i="4"/>
  <c r="D12" i="4"/>
  <c r="A12" i="4"/>
  <c r="AA11" i="4"/>
  <c r="Z11" i="4"/>
  <c r="Y11" i="4"/>
  <c r="X11" i="4"/>
  <c r="U7" i="9" s="1"/>
  <c r="DC7" i="2" s="1"/>
  <c r="GY7" i="2" s="1"/>
  <c r="W11" i="4"/>
  <c r="U11" i="4"/>
  <c r="H11" i="4"/>
  <c r="G11" i="4"/>
  <c r="E11" i="4"/>
  <c r="D11" i="4"/>
  <c r="A11" i="4"/>
  <c r="AA10" i="4"/>
  <c r="X6" i="9" s="1"/>
  <c r="DF6" i="2" s="1"/>
  <c r="HB6" i="2" s="1"/>
  <c r="Z10" i="4"/>
  <c r="Y10" i="4"/>
  <c r="X10" i="4"/>
  <c r="W10" i="4"/>
  <c r="U10" i="4"/>
  <c r="H10" i="4"/>
  <c r="G10" i="4"/>
  <c r="E10" i="4"/>
  <c r="D10" i="4"/>
  <c r="A10" i="4"/>
  <c r="L77" i="10"/>
  <c r="C50" i="10"/>
  <c r="F50" i="10" s="1"/>
  <c r="G25" i="10"/>
  <c r="C25" i="10"/>
  <c r="D24" i="10"/>
  <c r="L23" i="10"/>
  <c r="I23" i="10"/>
  <c r="F23" i="10"/>
  <c r="C23" i="10"/>
  <c r="I22" i="10"/>
  <c r="F22" i="10"/>
  <c r="C22" i="10"/>
  <c r="H20" i="10"/>
  <c r="D20" i="10"/>
  <c r="J16" i="10"/>
  <c r="F16" i="10"/>
  <c r="J14" i="10"/>
  <c r="F14" i="10"/>
  <c r="D14" i="10"/>
  <c r="K10" i="10"/>
  <c r="H10" i="10"/>
  <c r="D9" i="10"/>
  <c r="K6" i="10"/>
  <c r="K35" i="3"/>
  <c r="J35" i="3"/>
  <c r="I35" i="3"/>
  <c r="H35" i="3"/>
  <c r="G35" i="3"/>
  <c r="F35" i="3"/>
  <c r="K34" i="3"/>
  <c r="J34" i="3"/>
  <c r="I34" i="3"/>
  <c r="H34" i="3"/>
  <c r="G34" i="3"/>
  <c r="F34" i="3"/>
  <c r="K33" i="3"/>
  <c r="J33" i="3"/>
  <c r="I33" i="3"/>
  <c r="H33" i="3"/>
  <c r="G33" i="3"/>
  <c r="F33" i="3"/>
  <c r="K32" i="3"/>
  <c r="J32" i="3"/>
  <c r="I32" i="3"/>
  <c r="H32" i="3"/>
  <c r="G32" i="3"/>
  <c r="F32" i="3"/>
  <c r="G28" i="3"/>
  <c r="C28" i="3"/>
  <c r="D27" i="3"/>
  <c r="L23" i="3"/>
  <c r="I23" i="3"/>
  <c r="F23" i="3"/>
  <c r="C23" i="3"/>
  <c r="L22" i="3"/>
  <c r="I22" i="3"/>
  <c r="F22" i="3"/>
  <c r="C22" i="3"/>
  <c r="H20" i="3"/>
  <c r="D20" i="3"/>
  <c r="J16" i="3"/>
  <c r="F16" i="3"/>
  <c r="J14" i="3"/>
  <c r="F14" i="3"/>
  <c r="D14" i="3"/>
  <c r="K10" i="3"/>
  <c r="H10" i="3"/>
  <c r="D9" i="3"/>
  <c r="K6" i="3"/>
  <c r="DB69" i="2"/>
  <c r="DB68" i="2"/>
  <c r="DB67" i="2"/>
  <c r="DB66" i="2"/>
  <c r="DB65" i="2"/>
  <c r="DB64" i="2"/>
  <c r="DB63" i="2"/>
  <c r="DB62" i="2"/>
  <c r="DB61" i="2"/>
  <c r="DB60" i="2"/>
  <c r="DB59" i="2"/>
  <c r="DB58" i="2"/>
  <c r="DB46" i="2"/>
  <c r="DB45" i="2"/>
  <c r="DB44" i="2"/>
  <c r="DB43" i="2"/>
  <c r="DB42" i="2"/>
  <c r="DB41" i="2"/>
  <c r="DB40" i="2"/>
  <c r="DB39" i="2"/>
  <c r="DB38" i="2"/>
  <c r="DB37" i="2"/>
  <c r="DB36" i="2"/>
  <c r="DB35" i="2"/>
  <c r="DB34" i="2"/>
  <c r="DB33" i="2"/>
  <c r="DB32" i="2"/>
  <c r="DB31" i="2"/>
  <c r="DB30" i="2"/>
  <c r="DB29" i="2"/>
  <c r="DB28" i="2"/>
  <c r="DB27" i="2"/>
  <c r="DB25" i="2"/>
  <c r="DB24" i="2"/>
  <c r="DB23" i="2"/>
  <c r="DB22" i="2"/>
  <c r="DB21" i="2"/>
  <c r="DB20" i="2"/>
  <c r="DB19" i="2"/>
  <c r="DB18" i="2"/>
  <c r="DB17" i="2"/>
  <c r="DB16" i="2"/>
  <c r="DB15" i="2"/>
  <c r="DB14" i="2"/>
  <c r="DB13" i="2"/>
  <c r="DB12" i="2"/>
  <c r="DB11" i="2"/>
  <c r="DB10" i="2"/>
  <c r="DB9" i="2"/>
  <c r="DB8" i="2"/>
  <c r="DB7" i="2"/>
  <c r="DB6" i="2"/>
  <c r="BR1" i="2"/>
  <c r="BS1" i="2"/>
  <c r="BT1" i="2"/>
  <c r="BU1" i="2"/>
  <c r="BV1" i="2"/>
  <c r="BL1" i="2"/>
  <c r="BM1" i="2"/>
  <c r="BN1" i="2"/>
  <c r="BO1" i="2"/>
  <c r="BP1" i="2"/>
  <c r="BG1" i="2"/>
  <c r="BH1" i="2"/>
  <c r="BI1" i="2"/>
  <c r="BJ1" i="2"/>
  <c r="BA1" i="2"/>
  <c r="BB1" i="2"/>
  <c r="BC1" i="2"/>
  <c r="BD1" i="2"/>
  <c r="BE1" i="2"/>
  <c r="AU1" i="2"/>
  <c r="AV1" i="2"/>
  <c r="AW1" i="2"/>
  <c r="AX1" i="2"/>
  <c r="AY1" i="2"/>
  <c r="AO1" i="2"/>
  <c r="AP1" i="2"/>
  <c r="AQ1" i="2"/>
  <c r="AR1" i="2"/>
  <c r="AS1" i="2"/>
  <c r="BD86" i="5"/>
  <c r="AT86" i="5"/>
  <c r="V86" i="5"/>
  <c r="W86" i="5"/>
  <c r="N86" i="5"/>
  <c r="BD85" i="5"/>
  <c r="AU85" i="5"/>
  <c r="AT85" i="5"/>
  <c r="V85" i="5"/>
  <c r="W85" i="5"/>
  <c r="N85" i="5"/>
  <c r="BD84" i="5"/>
  <c r="AU84" i="5"/>
  <c r="AT84" i="5"/>
  <c r="V84" i="5"/>
  <c r="W84" i="5"/>
  <c r="N84" i="5"/>
  <c r="BD83" i="5"/>
  <c r="AU83" i="5"/>
  <c r="AT83" i="5"/>
  <c r="V83" i="5"/>
  <c r="W83" i="5"/>
  <c r="N83" i="5"/>
  <c r="BD82" i="5"/>
  <c r="AU82" i="5"/>
  <c r="AT82" i="5"/>
  <c r="V82" i="5"/>
  <c r="W82" i="5"/>
  <c r="N82" i="5"/>
  <c r="BD81" i="5"/>
  <c r="AU81" i="5"/>
  <c r="AT81" i="5"/>
  <c r="V81" i="5"/>
  <c r="W81" i="5"/>
  <c r="AV81" i="5"/>
  <c r="N81" i="5"/>
  <c r="BD80" i="5"/>
  <c r="AU80" i="5"/>
  <c r="AT80" i="5"/>
  <c r="V80" i="5"/>
  <c r="W80" i="5"/>
  <c r="N80" i="5"/>
  <c r="BD79" i="5"/>
  <c r="AU79" i="5"/>
  <c r="AT79" i="5"/>
  <c r="V79" i="5"/>
  <c r="W79" i="5"/>
  <c r="N79" i="5"/>
  <c r="BD78" i="5"/>
  <c r="AU78" i="5"/>
  <c r="AT78" i="5"/>
  <c r="V78" i="5"/>
  <c r="W78" i="5"/>
  <c r="N78" i="5"/>
  <c r="BD77" i="5"/>
  <c r="AU77" i="5"/>
  <c r="AT77" i="5"/>
  <c r="V77" i="5"/>
  <c r="W77" i="5"/>
  <c r="N77" i="5"/>
  <c r="BD76" i="5"/>
  <c r="AU76" i="5"/>
  <c r="AT76" i="5"/>
  <c r="V76" i="5"/>
  <c r="W76" i="5"/>
  <c r="N76" i="5"/>
  <c r="BD75" i="5"/>
  <c r="AU75" i="5"/>
  <c r="AT75" i="5"/>
  <c r="V75" i="5"/>
  <c r="W75" i="5"/>
  <c r="AV75" i="5"/>
  <c r="N75" i="5"/>
  <c r="BD74" i="5"/>
  <c r="AU74" i="5"/>
  <c r="AT74" i="5"/>
  <c r="V74" i="5"/>
  <c r="W74" i="5"/>
  <c r="N74" i="5"/>
  <c r="BD73" i="5"/>
  <c r="AU73" i="5"/>
  <c r="AT73" i="5"/>
  <c r="V73" i="5"/>
  <c r="W73" i="5"/>
  <c r="N73" i="5"/>
  <c r="BD72" i="5"/>
  <c r="AU72" i="5"/>
  <c r="AT72" i="5"/>
  <c r="V72" i="5"/>
  <c r="W72" i="5"/>
  <c r="N72" i="5"/>
  <c r="BD71" i="5"/>
  <c r="AU71" i="5"/>
  <c r="AT71" i="5"/>
  <c r="V71" i="5"/>
  <c r="W71" i="5"/>
  <c r="N71" i="5"/>
  <c r="BD70" i="5"/>
  <c r="AU70" i="5"/>
  <c r="AT70" i="5"/>
  <c r="V70" i="5"/>
  <c r="W70" i="5"/>
  <c r="N70" i="5"/>
  <c r="BD69" i="5"/>
  <c r="AU69" i="5"/>
  <c r="AT69" i="5"/>
  <c r="V69" i="5"/>
  <c r="W69" i="5"/>
  <c r="AV69" i="5"/>
  <c r="N69" i="5"/>
  <c r="BD68" i="5"/>
  <c r="AU68" i="5"/>
  <c r="AT68" i="5"/>
  <c r="V68" i="5"/>
  <c r="W68" i="5"/>
  <c r="N68" i="5"/>
  <c r="BD67" i="5"/>
  <c r="AU67" i="5"/>
  <c r="AT67" i="5"/>
  <c r="V67" i="5"/>
  <c r="W67" i="5"/>
  <c r="N67" i="5"/>
  <c r="BD66" i="5"/>
  <c r="AU66" i="5"/>
  <c r="AT66" i="5"/>
  <c r="V66" i="5"/>
  <c r="W66" i="5"/>
  <c r="N66" i="5"/>
  <c r="BD65" i="5"/>
  <c r="AU65" i="5"/>
  <c r="AT65" i="5"/>
  <c r="V65" i="5"/>
  <c r="W65" i="5"/>
  <c r="N65" i="5"/>
  <c r="BD64" i="5"/>
  <c r="AU64" i="5"/>
  <c r="AT64" i="5"/>
  <c r="V64" i="5"/>
  <c r="W64" i="5"/>
  <c r="N64" i="5"/>
  <c r="BD63" i="5"/>
  <c r="AU63" i="5"/>
  <c r="AT63" i="5"/>
  <c r="V63" i="5"/>
  <c r="W63" i="5"/>
  <c r="AV63" i="5"/>
  <c r="N63" i="5"/>
  <c r="BD62" i="5"/>
  <c r="AU62" i="5"/>
  <c r="AT62" i="5"/>
  <c r="V62" i="5"/>
  <c r="W62" i="5"/>
  <c r="N62" i="5"/>
  <c r="BD61" i="5"/>
  <c r="AU61" i="5"/>
  <c r="AT61" i="5"/>
  <c r="V61" i="5"/>
  <c r="W61" i="5"/>
  <c r="N61" i="5"/>
  <c r="BD60" i="5"/>
  <c r="AU60" i="5"/>
  <c r="AT60" i="5"/>
  <c r="V60" i="5"/>
  <c r="W60" i="5"/>
  <c r="N60" i="5"/>
  <c r="BD59" i="5"/>
  <c r="AU59" i="5"/>
  <c r="AT59" i="5"/>
  <c r="V59" i="5"/>
  <c r="W59" i="5"/>
  <c r="AQ59" i="5"/>
  <c r="N59" i="5"/>
  <c r="BD58" i="5"/>
  <c r="AU58" i="5"/>
  <c r="AT58" i="5"/>
  <c r="V58" i="5"/>
  <c r="W58" i="5"/>
  <c r="AQ58" i="5"/>
  <c r="N58" i="5"/>
  <c r="BD57" i="5"/>
  <c r="AU57" i="5"/>
  <c r="AT57" i="5"/>
  <c r="V57" i="5"/>
  <c r="W57" i="5"/>
  <c r="AQ57" i="5"/>
  <c r="N57" i="5"/>
  <c r="BD56" i="5"/>
  <c r="AU56" i="5"/>
  <c r="AT56" i="5"/>
  <c r="V56" i="5"/>
  <c r="W56" i="5"/>
  <c r="AQ56" i="5"/>
  <c r="N56" i="5"/>
  <c r="BD55" i="5"/>
  <c r="AU55" i="5"/>
  <c r="AT55" i="5"/>
  <c r="V55" i="5"/>
  <c r="W55" i="5"/>
  <c r="AQ55" i="5"/>
  <c r="N55" i="5"/>
  <c r="BD54" i="5"/>
  <c r="AU54" i="5"/>
  <c r="AT54" i="5"/>
  <c r="V54" i="5"/>
  <c r="W54" i="5"/>
  <c r="N54" i="5"/>
  <c r="BD53" i="5"/>
  <c r="AU53" i="5"/>
  <c r="AT53" i="5"/>
  <c r="V53" i="5"/>
  <c r="W53" i="5"/>
  <c r="AQ53" i="5"/>
  <c r="N53" i="5"/>
  <c r="BD52" i="5"/>
  <c r="AU52" i="5"/>
  <c r="AT52" i="5"/>
  <c r="V52" i="5"/>
  <c r="W52" i="5"/>
  <c r="AQ52" i="5"/>
  <c r="N52" i="5"/>
  <c r="BD51" i="5"/>
  <c r="AU51" i="5"/>
  <c r="AT51" i="5"/>
  <c r="V51" i="5"/>
  <c r="W51" i="5"/>
  <c r="AQ51" i="5"/>
  <c r="N51" i="5"/>
  <c r="BD50" i="5"/>
  <c r="AU50" i="5"/>
  <c r="AT50" i="5"/>
  <c r="V50" i="5"/>
  <c r="W50" i="5"/>
  <c r="AQ50" i="5"/>
  <c r="N50" i="5"/>
  <c r="BD49" i="5"/>
  <c r="AU49" i="5"/>
  <c r="AT49" i="5"/>
  <c r="V49" i="5"/>
  <c r="W49" i="5"/>
  <c r="N49" i="5"/>
  <c r="BD48" i="5"/>
  <c r="AU48" i="5"/>
  <c r="AT48" i="5"/>
  <c r="V48" i="5"/>
  <c r="W48" i="5"/>
  <c r="AQ48" i="5"/>
  <c r="N48" i="5"/>
  <c r="BD47" i="5"/>
  <c r="AU47" i="5"/>
  <c r="AT47" i="5"/>
  <c r="V47" i="5"/>
  <c r="W47" i="5"/>
  <c r="AQ47" i="5"/>
  <c r="N47" i="5"/>
  <c r="BD46" i="5"/>
  <c r="AU46" i="5"/>
  <c r="AT46" i="5"/>
  <c r="V46" i="5"/>
  <c r="W46" i="5"/>
  <c r="AQ46" i="5"/>
  <c r="N46" i="5"/>
  <c r="BD45" i="5"/>
  <c r="AU45" i="5"/>
  <c r="AT45" i="5"/>
  <c r="V45" i="5"/>
  <c r="W45" i="5"/>
  <c r="AQ45" i="5"/>
  <c r="N45" i="5"/>
  <c r="BD44" i="5"/>
  <c r="AU44" i="5"/>
  <c r="AT44" i="5"/>
  <c r="V44" i="5"/>
  <c r="W44" i="5"/>
  <c r="AQ44" i="5"/>
  <c r="N44" i="5"/>
  <c r="BD43" i="5"/>
  <c r="AU43" i="5"/>
  <c r="AT43" i="5"/>
  <c r="V43" i="5"/>
  <c r="W43" i="5"/>
  <c r="AQ43" i="5"/>
  <c r="N43" i="5"/>
  <c r="BD42" i="5"/>
  <c r="AU42" i="5"/>
  <c r="AT42" i="5"/>
  <c r="V42" i="5"/>
  <c r="W42" i="5"/>
  <c r="AQ42" i="5"/>
  <c r="N42" i="5"/>
  <c r="BD41" i="5"/>
  <c r="AU41" i="5"/>
  <c r="AT41" i="5"/>
  <c r="V41" i="5"/>
  <c r="W41" i="5"/>
  <c r="AQ41" i="5"/>
  <c r="N41" i="5"/>
  <c r="BD40" i="5"/>
  <c r="AU40" i="5"/>
  <c r="AT40" i="5"/>
  <c r="V40" i="5"/>
  <c r="W40" i="5"/>
  <c r="AQ40" i="5"/>
  <c r="N40" i="5"/>
  <c r="BD39" i="5"/>
  <c r="AU39" i="5"/>
  <c r="AT39" i="5"/>
  <c r="V39" i="5"/>
  <c r="W39" i="5"/>
  <c r="N39" i="5"/>
  <c r="BD38" i="5"/>
  <c r="AU38" i="5"/>
  <c r="AT38" i="5"/>
  <c r="V38" i="5"/>
  <c r="W38" i="5"/>
  <c r="AQ38" i="5"/>
  <c r="N38" i="5"/>
  <c r="BD37" i="5"/>
  <c r="AU37" i="5"/>
  <c r="AT37" i="5"/>
  <c r="V37" i="5"/>
  <c r="W37" i="5"/>
  <c r="AQ37" i="5"/>
  <c r="N37" i="5"/>
  <c r="BD36" i="5"/>
  <c r="AU36" i="5"/>
  <c r="AT36" i="5"/>
  <c r="V36" i="5"/>
  <c r="W36" i="5"/>
  <c r="AQ36" i="5"/>
  <c r="N36" i="5"/>
  <c r="BD35" i="5"/>
  <c r="AU35" i="5"/>
  <c r="AT35" i="5"/>
  <c r="V35" i="5"/>
  <c r="W35" i="5"/>
  <c r="AQ35" i="5"/>
  <c r="N35" i="5"/>
  <c r="BD34" i="5"/>
  <c r="AU34" i="5"/>
  <c r="AT34" i="5"/>
  <c r="V34" i="5"/>
  <c r="W34" i="5"/>
  <c r="AQ34" i="5"/>
  <c r="N34" i="5"/>
  <c r="BD33" i="5"/>
  <c r="AU33" i="5"/>
  <c r="AT33" i="5"/>
  <c r="V33" i="5"/>
  <c r="W33" i="5"/>
  <c r="N33" i="5"/>
  <c r="BD32" i="5"/>
  <c r="AU32" i="5"/>
  <c r="AT32" i="5"/>
  <c r="V32" i="5"/>
  <c r="W32" i="5"/>
  <c r="AQ32" i="5"/>
  <c r="N32" i="5"/>
  <c r="BD31" i="5"/>
  <c r="AU31" i="5"/>
  <c r="AT31" i="5"/>
  <c r="V31" i="5"/>
  <c r="W31" i="5"/>
  <c r="AQ31" i="5"/>
  <c r="N31" i="5"/>
  <c r="BD30" i="5"/>
  <c r="AU30" i="5"/>
  <c r="AT30" i="5"/>
  <c r="V30" i="5"/>
  <c r="W30" i="5"/>
  <c r="AQ30" i="5"/>
  <c r="N30" i="5"/>
  <c r="BD29" i="5"/>
  <c r="AU29" i="5"/>
  <c r="AT29" i="5"/>
  <c r="V29" i="5"/>
  <c r="W29" i="5"/>
  <c r="AQ29" i="5"/>
  <c r="N29" i="5"/>
  <c r="BD28" i="5"/>
  <c r="AU28" i="5"/>
  <c r="AT28" i="5"/>
  <c r="V28" i="5"/>
  <c r="W28" i="5"/>
  <c r="AQ28" i="5"/>
  <c r="N28" i="5"/>
  <c r="BD27" i="5"/>
  <c r="AU27" i="5"/>
  <c r="AT27" i="5"/>
  <c r="V27" i="5"/>
  <c r="W27" i="5"/>
  <c r="AA27" i="5"/>
  <c r="N27" i="5"/>
  <c r="BD26" i="5"/>
  <c r="AU26" i="5"/>
  <c r="AT26" i="5"/>
  <c r="V26" i="5"/>
  <c r="W26" i="5"/>
  <c r="AQ26" i="5"/>
  <c r="N26" i="5"/>
  <c r="BD25" i="5"/>
  <c r="AU25" i="5"/>
  <c r="AT25" i="5"/>
  <c r="V25" i="5"/>
  <c r="W25" i="5"/>
  <c r="AQ25" i="5"/>
  <c r="N25" i="5"/>
  <c r="BD24" i="5"/>
  <c r="AU24" i="5"/>
  <c r="AT24" i="5"/>
  <c r="V24" i="5"/>
  <c r="W24" i="5"/>
  <c r="AQ24" i="5"/>
  <c r="N24" i="5"/>
  <c r="BD23" i="5"/>
  <c r="AU23" i="5"/>
  <c r="AT23" i="5"/>
  <c r="V23" i="5"/>
  <c r="W23" i="5"/>
  <c r="AQ23" i="5"/>
  <c r="N23" i="5"/>
  <c r="BD22" i="5"/>
  <c r="AU22" i="5"/>
  <c r="AT22" i="5"/>
  <c r="V22" i="5"/>
  <c r="W22" i="5"/>
  <c r="AQ22" i="5"/>
  <c r="N22" i="5"/>
  <c r="BD21" i="5"/>
  <c r="AU21" i="5"/>
  <c r="AT21" i="5"/>
  <c r="V21" i="5"/>
  <c r="W21" i="5"/>
  <c r="AA21" i="5"/>
  <c r="N21" i="5"/>
  <c r="BD20" i="5"/>
  <c r="AU20" i="5"/>
  <c r="AT20" i="5"/>
  <c r="V20" i="5"/>
  <c r="W20" i="5"/>
  <c r="AQ20" i="5"/>
  <c r="N20" i="5"/>
  <c r="BD19" i="5"/>
  <c r="AU19" i="5"/>
  <c r="AT19" i="5"/>
  <c r="V19" i="5"/>
  <c r="W19" i="5"/>
  <c r="AQ19" i="5"/>
  <c r="N19" i="5"/>
  <c r="BD18" i="5"/>
  <c r="AU18" i="5"/>
  <c r="AT18" i="5"/>
  <c r="V18" i="5"/>
  <c r="W18" i="5"/>
  <c r="AQ18" i="5"/>
  <c r="N18" i="5"/>
  <c r="BD17" i="5"/>
  <c r="AU17" i="5"/>
  <c r="AT17" i="5"/>
  <c r="V17" i="5"/>
  <c r="W17" i="5"/>
  <c r="AQ17" i="5"/>
  <c r="N17" i="5"/>
  <c r="BD16" i="5"/>
  <c r="AU16" i="5"/>
  <c r="AT16" i="5"/>
  <c r="V16" i="5"/>
  <c r="W16" i="5"/>
  <c r="AQ16" i="5"/>
  <c r="N16" i="5"/>
  <c r="BD15" i="5"/>
  <c r="AU15" i="5"/>
  <c r="AT15" i="5"/>
  <c r="V15" i="5"/>
  <c r="W15" i="5"/>
  <c r="AV15" i="5"/>
  <c r="AW15" i="5"/>
  <c r="N15" i="5"/>
  <c r="BD14" i="5"/>
  <c r="AU14" i="5"/>
  <c r="AT14" i="5"/>
  <c r="V14" i="5"/>
  <c r="W14" i="5"/>
  <c r="N14" i="5"/>
  <c r="BD13" i="5"/>
  <c r="AU13" i="5"/>
  <c r="AT13" i="5"/>
  <c r="V13" i="5"/>
  <c r="W13" i="5"/>
  <c r="AQ13" i="5"/>
  <c r="N13" i="5"/>
  <c r="BD12" i="5"/>
  <c r="AU12" i="5"/>
  <c r="AT12" i="5"/>
  <c r="V12" i="5"/>
  <c r="W12" i="5"/>
  <c r="AQ12" i="5"/>
  <c r="N12" i="5"/>
  <c r="BD11" i="5"/>
  <c r="AU11" i="5"/>
  <c r="AT11" i="5"/>
  <c r="V11" i="5"/>
  <c r="W11" i="5"/>
  <c r="N11" i="5"/>
  <c r="BD10" i="5"/>
  <c r="AU10" i="5"/>
  <c r="AT10" i="5"/>
  <c r="V10" i="5"/>
  <c r="W10" i="5"/>
  <c r="N10" i="5"/>
  <c r="BD9" i="5"/>
  <c r="AU9" i="5"/>
  <c r="AT9" i="5"/>
  <c r="V9" i="5"/>
  <c r="W9" i="5"/>
  <c r="AI9" i="5"/>
  <c r="N9" i="5"/>
  <c r="BD8" i="5"/>
  <c r="AU8" i="5"/>
  <c r="AT8" i="5"/>
  <c r="V8" i="5"/>
  <c r="W8" i="5"/>
  <c r="N8" i="5"/>
  <c r="BD7" i="5"/>
  <c r="AU7" i="5"/>
  <c r="AT7" i="5"/>
  <c r="V7" i="5"/>
  <c r="W7" i="5"/>
  <c r="N7" i="5"/>
  <c r="BD6" i="5"/>
  <c r="AU6" i="5"/>
  <c r="AT6" i="5"/>
  <c r="V6" i="5"/>
  <c r="W6" i="5"/>
  <c r="N6" i="5"/>
  <c r="BD5" i="5"/>
  <c r="AU5" i="5"/>
  <c r="AT5" i="5"/>
  <c r="V5" i="5"/>
  <c r="W5" i="5"/>
  <c r="N5" i="5"/>
  <c r="BD4" i="5"/>
  <c r="AU4" i="5"/>
  <c r="AT4" i="5"/>
  <c r="V4" i="5"/>
  <c r="W4" i="5"/>
  <c r="N4" i="5"/>
  <c r="F69" i="9"/>
  <c r="F68" i="9"/>
  <c r="F67" i="9"/>
  <c r="F66" i="9"/>
  <c r="F65" i="9"/>
  <c r="F64" i="9"/>
  <c r="F63" i="9"/>
  <c r="F62" i="9"/>
  <c r="F61" i="9"/>
  <c r="F60" i="9"/>
  <c r="F59" i="9"/>
  <c r="F58" i="9"/>
  <c r="F57" i="9"/>
  <c r="F56" i="9"/>
  <c r="F53" i="9"/>
  <c r="F49" i="9"/>
  <c r="F48" i="9"/>
  <c r="F47" i="9"/>
  <c r="F46" i="9"/>
  <c r="F45" i="9"/>
  <c r="F44" i="9"/>
  <c r="F43" i="9"/>
  <c r="F42" i="9"/>
  <c r="F41" i="9"/>
  <c r="F40" i="9"/>
  <c r="F39" i="9"/>
  <c r="F38" i="9"/>
  <c r="F37" i="9"/>
  <c r="F36" i="9"/>
  <c r="F35" i="9"/>
  <c r="F34" i="9"/>
  <c r="F33" i="9"/>
  <c r="F32" i="9"/>
  <c r="F31" i="9"/>
  <c r="F30" i="9"/>
  <c r="F29" i="9"/>
  <c r="F28" i="9"/>
  <c r="F27" i="9"/>
  <c r="F25" i="9"/>
  <c r="F24" i="9"/>
  <c r="F23" i="9"/>
  <c r="F22" i="9"/>
  <c r="F21" i="9"/>
  <c r="F20" i="9"/>
  <c r="F19" i="9"/>
  <c r="F18" i="9"/>
  <c r="F17" i="9"/>
  <c r="F16" i="9"/>
  <c r="F15" i="9"/>
  <c r="F14" i="9"/>
  <c r="F13" i="9"/>
  <c r="F12" i="9"/>
  <c r="F11" i="9"/>
  <c r="F10" i="9"/>
  <c r="F9" i="9"/>
  <c r="F8" i="9"/>
  <c r="F7" i="9"/>
  <c r="F6" i="9"/>
  <c r="F18" i="7"/>
  <c r="F17" i="7"/>
  <c r="F16" i="7"/>
  <c r="F15" i="7"/>
  <c r="F14" i="7"/>
  <c r="F13" i="7"/>
  <c r="F12" i="7"/>
  <c r="F11" i="7"/>
  <c r="F10" i="7"/>
  <c r="F9" i="7"/>
  <c r="F8" i="7"/>
  <c r="F7" i="7"/>
  <c r="F6" i="7"/>
  <c r="F5" i="7"/>
  <c r="F4" i="7"/>
  <c r="K6" i="9"/>
  <c r="BX16" i="9"/>
  <c r="BG16" i="9"/>
  <c r="BV42" i="9"/>
  <c r="BI4" i="5"/>
  <c r="BH4" i="5"/>
  <c r="BG4" i="5"/>
  <c r="BF4" i="5"/>
  <c r="BE4" i="5"/>
  <c r="BJ4" i="5"/>
  <c r="AE4" i="5"/>
  <c r="BI5" i="5"/>
  <c r="BH5" i="5"/>
  <c r="BG5" i="5"/>
  <c r="BF5" i="5"/>
  <c r="BE5" i="5"/>
  <c r="BJ5" i="5"/>
  <c r="AA5" i="5"/>
  <c r="BI6" i="5"/>
  <c r="BH6" i="5"/>
  <c r="BG6" i="5"/>
  <c r="BF6" i="5"/>
  <c r="BE6" i="5"/>
  <c r="BJ6" i="5"/>
  <c r="AV6" i="5"/>
  <c r="BI7" i="5"/>
  <c r="BH7" i="5"/>
  <c r="BG7" i="5"/>
  <c r="BF7" i="5"/>
  <c r="BE7" i="5"/>
  <c r="BJ7" i="5"/>
  <c r="BI8" i="5"/>
  <c r="BH8" i="5"/>
  <c r="BG8" i="5"/>
  <c r="BF8" i="5"/>
  <c r="BE8" i="5"/>
  <c r="BJ8" i="5"/>
  <c r="BI9" i="5"/>
  <c r="BH9" i="5"/>
  <c r="BG9" i="5"/>
  <c r="BF9" i="5"/>
  <c r="BE9" i="5"/>
  <c r="BJ9" i="5"/>
  <c r="BI10" i="5"/>
  <c r="BH10" i="5"/>
  <c r="BG10" i="5"/>
  <c r="BF10" i="5"/>
  <c r="BE10" i="5"/>
  <c r="BJ10" i="5"/>
  <c r="AE10" i="5"/>
  <c r="BI11" i="5"/>
  <c r="BH11" i="5"/>
  <c r="BG11" i="5"/>
  <c r="BF11" i="5"/>
  <c r="BE11" i="5"/>
  <c r="BJ11" i="5"/>
  <c r="AA11" i="5"/>
  <c r="BI12" i="5"/>
  <c r="BH12" i="5"/>
  <c r="BG12" i="5"/>
  <c r="BF12" i="5"/>
  <c r="BE12" i="5"/>
  <c r="BJ12" i="5"/>
  <c r="AM12" i="5"/>
  <c r="AI12" i="5"/>
  <c r="AE12" i="5"/>
  <c r="AA12" i="5"/>
  <c r="AV12" i="5"/>
  <c r="BI13" i="5"/>
  <c r="BH13" i="5"/>
  <c r="BG13" i="5"/>
  <c r="BF13" i="5"/>
  <c r="BE13" i="5"/>
  <c r="BJ13" i="5"/>
  <c r="AM13" i="5"/>
  <c r="AI13" i="5"/>
  <c r="AE13" i="5"/>
  <c r="AA13" i="5"/>
  <c r="AV13" i="5"/>
  <c r="BI14" i="5"/>
  <c r="BH14" i="5"/>
  <c r="BG14" i="5"/>
  <c r="BF14" i="5"/>
  <c r="BE14" i="5"/>
  <c r="BJ14" i="5"/>
  <c r="AM14" i="5"/>
  <c r="AN14" i="5"/>
  <c r="AA14" i="5"/>
  <c r="AB14" i="5"/>
  <c r="AV14" i="5"/>
  <c r="AW14" i="5"/>
  <c r="BI15" i="5"/>
  <c r="BH15" i="5"/>
  <c r="BG15" i="5"/>
  <c r="BF15" i="5"/>
  <c r="BE15" i="5"/>
  <c r="BJ15" i="5"/>
  <c r="BI16" i="5"/>
  <c r="BH16" i="5"/>
  <c r="BG16" i="5"/>
  <c r="BF16" i="5"/>
  <c r="BE16" i="5"/>
  <c r="BJ16" i="5"/>
  <c r="AM16" i="5"/>
  <c r="AV16" i="5"/>
  <c r="BI17" i="5"/>
  <c r="BH17" i="5"/>
  <c r="BG17" i="5"/>
  <c r="BF17" i="5"/>
  <c r="BE17" i="5"/>
  <c r="BJ17" i="5"/>
  <c r="AM17" i="5"/>
  <c r="AI17" i="5"/>
  <c r="BI18" i="5"/>
  <c r="BH18" i="5"/>
  <c r="BG18" i="5"/>
  <c r="BF18" i="5"/>
  <c r="BE18" i="5"/>
  <c r="BJ18" i="5"/>
  <c r="AM18" i="5"/>
  <c r="AI18" i="5"/>
  <c r="AE18" i="5"/>
  <c r="AA18" i="5"/>
  <c r="BI19" i="5"/>
  <c r="BH19" i="5"/>
  <c r="BG19" i="5"/>
  <c r="BF19" i="5"/>
  <c r="BE19" i="5"/>
  <c r="BJ19" i="5"/>
  <c r="AM19" i="5"/>
  <c r="AI19" i="5"/>
  <c r="AE19" i="5"/>
  <c r="AA19" i="5"/>
  <c r="AV19" i="5"/>
  <c r="BI20" i="5"/>
  <c r="BH20" i="5"/>
  <c r="BG20" i="5"/>
  <c r="BF20" i="5"/>
  <c r="BE20" i="5"/>
  <c r="BJ20" i="5"/>
  <c r="AI20" i="5"/>
  <c r="AE20" i="5"/>
  <c r="AA20" i="5"/>
  <c r="AV20" i="5"/>
  <c r="BI21" i="5"/>
  <c r="BH21" i="5"/>
  <c r="BG21" i="5"/>
  <c r="BF21" i="5"/>
  <c r="BE21" i="5"/>
  <c r="BJ21" i="5"/>
  <c r="BI22" i="5"/>
  <c r="BH22" i="5"/>
  <c r="BG22" i="5"/>
  <c r="BF22" i="5"/>
  <c r="BE22" i="5"/>
  <c r="BJ22" i="5"/>
  <c r="AM22" i="5"/>
  <c r="AA22" i="5"/>
  <c r="AV22" i="5"/>
  <c r="BI23" i="5"/>
  <c r="BH23" i="5"/>
  <c r="BG23" i="5"/>
  <c r="BF23" i="5"/>
  <c r="BE23" i="5"/>
  <c r="BJ23" i="5"/>
  <c r="AM23" i="5"/>
  <c r="AI23" i="5"/>
  <c r="AE23" i="5"/>
  <c r="BI24" i="5"/>
  <c r="BH24" i="5"/>
  <c r="BG24" i="5"/>
  <c r="BF24" i="5"/>
  <c r="BE24" i="5"/>
  <c r="BJ24" i="5"/>
  <c r="AM24" i="5"/>
  <c r="AI24" i="5"/>
  <c r="AE24" i="5"/>
  <c r="AA24" i="5"/>
  <c r="BI25" i="5"/>
  <c r="BH25" i="5"/>
  <c r="BG25" i="5"/>
  <c r="BF25" i="5"/>
  <c r="BE25" i="5"/>
  <c r="BJ25" i="5"/>
  <c r="AM25" i="5"/>
  <c r="AI25" i="5"/>
  <c r="AE25" i="5"/>
  <c r="AA25" i="5"/>
  <c r="AV25" i="5"/>
  <c r="BI26" i="5"/>
  <c r="BH26" i="5"/>
  <c r="BG26" i="5"/>
  <c r="BF26" i="5"/>
  <c r="BE26" i="5"/>
  <c r="BJ26" i="5"/>
  <c r="AM26" i="5"/>
  <c r="AI26" i="5"/>
  <c r="AE26" i="5"/>
  <c r="AA26" i="5"/>
  <c r="AV26" i="5"/>
  <c r="BI27" i="5"/>
  <c r="BH27" i="5"/>
  <c r="BG27" i="5"/>
  <c r="BF27" i="5"/>
  <c r="BE27" i="5"/>
  <c r="BJ27" i="5"/>
  <c r="BI28" i="5"/>
  <c r="BH28" i="5"/>
  <c r="BG28" i="5"/>
  <c r="BF28" i="5"/>
  <c r="BE28" i="5"/>
  <c r="BJ28" i="5"/>
  <c r="AM28" i="5"/>
  <c r="AA28" i="5"/>
  <c r="AV28" i="5"/>
  <c r="BI29" i="5"/>
  <c r="BH29" i="5"/>
  <c r="BG29" i="5"/>
  <c r="BF29" i="5"/>
  <c r="BE29" i="5"/>
  <c r="BJ29" i="5"/>
  <c r="AM29" i="5"/>
  <c r="AI29" i="5"/>
  <c r="AE29" i="5"/>
  <c r="AA29" i="5"/>
  <c r="BI30" i="5"/>
  <c r="BH30" i="5"/>
  <c r="BG30" i="5"/>
  <c r="BF30" i="5"/>
  <c r="BE30" i="5"/>
  <c r="BJ30" i="5"/>
  <c r="AM30" i="5"/>
  <c r="AI30" i="5"/>
  <c r="AE30" i="5"/>
  <c r="AA30" i="5"/>
  <c r="AV30" i="5"/>
  <c r="BI31" i="5"/>
  <c r="BH31" i="5"/>
  <c r="BG31" i="5"/>
  <c r="BF31" i="5"/>
  <c r="BE31" i="5"/>
  <c r="BJ31" i="5"/>
  <c r="AM31" i="5"/>
  <c r="AI31" i="5"/>
  <c r="AE31" i="5"/>
  <c r="AA31" i="5"/>
  <c r="AV31" i="5"/>
  <c r="BI32" i="5"/>
  <c r="BH32" i="5"/>
  <c r="BG32" i="5"/>
  <c r="BF32" i="5"/>
  <c r="BE32" i="5"/>
  <c r="BJ32" i="5"/>
  <c r="AM32" i="5"/>
  <c r="AI32" i="5"/>
  <c r="AE32" i="5"/>
  <c r="AA32" i="5"/>
  <c r="AV32" i="5"/>
  <c r="BI33" i="5"/>
  <c r="BH33" i="5"/>
  <c r="BG33" i="5"/>
  <c r="BF33" i="5"/>
  <c r="BE33" i="5"/>
  <c r="BJ33" i="5"/>
  <c r="AA33" i="5"/>
  <c r="BI34" i="5"/>
  <c r="BH34" i="5"/>
  <c r="BG34" i="5"/>
  <c r="BF34" i="5"/>
  <c r="BE34" i="5"/>
  <c r="BJ34" i="5"/>
  <c r="AM34" i="5"/>
  <c r="AI34" i="5"/>
  <c r="AE34" i="5"/>
  <c r="AA34" i="5"/>
  <c r="AV34" i="5"/>
  <c r="BI35" i="5"/>
  <c r="BH35" i="5"/>
  <c r="BG35" i="5"/>
  <c r="BF35" i="5"/>
  <c r="BE35" i="5"/>
  <c r="BJ35" i="5"/>
  <c r="AM35" i="5"/>
  <c r="AI35" i="5"/>
  <c r="AE35" i="5"/>
  <c r="AA35" i="5"/>
  <c r="BI36" i="5"/>
  <c r="BH36" i="5"/>
  <c r="BG36" i="5"/>
  <c r="BF36" i="5"/>
  <c r="BE36" i="5"/>
  <c r="BJ36" i="5"/>
  <c r="AM36" i="5"/>
  <c r="AI36" i="5"/>
  <c r="AE36" i="5"/>
  <c r="AA36" i="5"/>
  <c r="AV36" i="5"/>
  <c r="BI37" i="5"/>
  <c r="BH37" i="5"/>
  <c r="BG37" i="5"/>
  <c r="BF37" i="5"/>
  <c r="BE37" i="5"/>
  <c r="BJ37" i="5"/>
  <c r="AM37" i="5"/>
  <c r="AI37" i="5"/>
  <c r="AE37" i="5"/>
  <c r="AA37" i="5"/>
  <c r="AV37" i="5"/>
  <c r="BI38" i="5"/>
  <c r="BH38" i="5"/>
  <c r="BG38" i="5"/>
  <c r="BF38" i="5"/>
  <c r="BE38" i="5"/>
  <c r="BJ38" i="5"/>
  <c r="AM38" i="5"/>
  <c r="AI38" i="5"/>
  <c r="AE38" i="5"/>
  <c r="AA38" i="5"/>
  <c r="AV38" i="5"/>
  <c r="BI39" i="5"/>
  <c r="BH39" i="5"/>
  <c r="BG39" i="5"/>
  <c r="BF39" i="5"/>
  <c r="BE39" i="5"/>
  <c r="BJ39" i="5"/>
  <c r="AA39" i="5"/>
  <c r="BI40" i="5"/>
  <c r="BH40" i="5"/>
  <c r="BG40" i="5"/>
  <c r="BF40" i="5"/>
  <c r="BE40" i="5"/>
  <c r="BJ40" i="5"/>
  <c r="AM40" i="5"/>
  <c r="AI40" i="5"/>
  <c r="AE40" i="5"/>
  <c r="AA40" i="5"/>
  <c r="AV40" i="5"/>
  <c r="BI41" i="5"/>
  <c r="BH41" i="5"/>
  <c r="BG41" i="5"/>
  <c r="BF41" i="5"/>
  <c r="BE41" i="5"/>
  <c r="BJ41" i="5"/>
  <c r="AM41" i="5"/>
  <c r="AI41" i="5"/>
  <c r="AE41" i="5"/>
  <c r="AA41" i="5"/>
  <c r="BI42" i="5"/>
  <c r="BH42" i="5"/>
  <c r="BG42" i="5"/>
  <c r="BF42" i="5"/>
  <c r="BE42" i="5"/>
  <c r="BJ42" i="5"/>
  <c r="AM42" i="5"/>
  <c r="AI42" i="5"/>
  <c r="AE42" i="5"/>
  <c r="AA42" i="5"/>
  <c r="AV42" i="5"/>
  <c r="BI43" i="5"/>
  <c r="BH43" i="5"/>
  <c r="BG43" i="5"/>
  <c r="BF43" i="5"/>
  <c r="BE43" i="5"/>
  <c r="BJ43" i="5"/>
  <c r="AM43" i="5"/>
  <c r="AI43" i="5"/>
  <c r="AE43" i="5"/>
  <c r="AA43" i="5"/>
  <c r="AV43" i="5"/>
  <c r="BI44" i="5"/>
  <c r="BH44" i="5"/>
  <c r="BG44" i="5"/>
  <c r="BF44" i="5"/>
  <c r="BE44" i="5"/>
  <c r="BJ44" i="5"/>
  <c r="AM44" i="5"/>
  <c r="AI44" i="5"/>
  <c r="AE44" i="5"/>
  <c r="AA44" i="5"/>
  <c r="AV44" i="5"/>
  <c r="BI45" i="5"/>
  <c r="BH45" i="5"/>
  <c r="BG45" i="5"/>
  <c r="BF45" i="5"/>
  <c r="BE45" i="5"/>
  <c r="BJ45" i="5"/>
  <c r="AA45" i="5"/>
  <c r="BI46" i="5"/>
  <c r="BH46" i="5"/>
  <c r="BG46" i="5"/>
  <c r="BF46" i="5"/>
  <c r="BE46" i="5"/>
  <c r="BJ46" i="5"/>
  <c r="AM46" i="5"/>
  <c r="AI46" i="5"/>
  <c r="AE46" i="5"/>
  <c r="AA46" i="5"/>
  <c r="AV46" i="5"/>
  <c r="BI47" i="5"/>
  <c r="BH47" i="5"/>
  <c r="BG47" i="5"/>
  <c r="BF47" i="5"/>
  <c r="BE47" i="5"/>
  <c r="BJ47" i="5"/>
  <c r="AM47" i="5"/>
  <c r="AI47" i="5"/>
  <c r="AE47" i="5"/>
  <c r="AA47" i="5"/>
  <c r="BI48" i="5"/>
  <c r="BH48" i="5"/>
  <c r="BG48" i="5"/>
  <c r="BF48" i="5"/>
  <c r="BE48" i="5"/>
  <c r="BJ48" i="5"/>
  <c r="AM48" i="5"/>
  <c r="AI48" i="5"/>
  <c r="AE48" i="5"/>
  <c r="AA48" i="5"/>
  <c r="AV48" i="5"/>
  <c r="BI49" i="5"/>
  <c r="BH49" i="5"/>
  <c r="BG49" i="5"/>
  <c r="BF49" i="5"/>
  <c r="BE49" i="5"/>
  <c r="BJ49" i="5"/>
  <c r="AM49" i="5"/>
  <c r="AN49" i="5"/>
  <c r="AI49" i="5"/>
  <c r="AJ49" i="5"/>
  <c r="AA49" i="5"/>
  <c r="AB49" i="5"/>
  <c r="AV49" i="5"/>
  <c r="AW49" i="5"/>
  <c r="BI50" i="5"/>
  <c r="BH50" i="5"/>
  <c r="BG50" i="5"/>
  <c r="BF50" i="5"/>
  <c r="BE50" i="5"/>
  <c r="BJ50" i="5"/>
  <c r="AM50" i="5"/>
  <c r="AI50" i="5"/>
  <c r="AE50" i="5"/>
  <c r="AA50" i="5"/>
  <c r="AV50" i="5"/>
  <c r="BI51" i="5"/>
  <c r="BH51" i="5"/>
  <c r="BG51" i="5"/>
  <c r="BF51" i="5"/>
  <c r="BE51" i="5"/>
  <c r="BJ51" i="5"/>
  <c r="AV51" i="5"/>
  <c r="BI52" i="5"/>
  <c r="BH52" i="5"/>
  <c r="BG52" i="5"/>
  <c r="BF52" i="5"/>
  <c r="BE52" i="5"/>
  <c r="BJ52" i="5"/>
  <c r="AM52" i="5"/>
  <c r="AI52" i="5"/>
  <c r="AE52" i="5"/>
  <c r="AA52" i="5"/>
  <c r="AV52" i="5"/>
  <c r="BI53" i="5"/>
  <c r="BH53" i="5"/>
  <c r="BG53" i="5"/>
  <c r="BF53" i="5"/>
  <c r="BE53" i="5"/>
  <c r="BJ53" i="5"/>
  <c r="AM53" i="5"/>
  <c r="AI53" i="5"/>
  <c r="AE53" i="5"/>
  <c r="AA53" i="5"/>
  <c r="BI54" i="5"/>
  <c r="BH54" i="5"/>
  <c r="BG54" i="5"/>
  <c r="BF54" i="5"/>
  <c r="BE54" i="5"/>
  <c r="BJ54" i="5"/>
  <c r="AM54" i="5"/>
  <c r="AN54" i="5"/>
  <c r="AI54" i="5"/>
  <c r="AJ54" i="5"/>
  <c r="AA54" i="5"/>
  <c r="AB54" i="5"/>
  <c r="AV54" i="5"/>
  <c r="AW54" i="5"/>
  <c r="BI55" i="5"/>
  <c r="BH55" i="5"/>
  <c r="BG55" i="5"/>
  <c r="BF55" i="5"/>
  <c r="BE55" i="5"/>
  <c r="BJ55" i="5"/>
  <c r="AM55" i="5"/>
  <c r="AI55" i="5"/>
  <c r="AE55" i="5"/>
  <c r="AA55" i="5"/>
  <c r="AV55" i="5"/>
  <c r="BI56" i="5"/>
  <c r="BH56" i="5"/>
  <c r="BG56" i="5"/>
  <c r="BF56" i="5"/>
  <c r="BE56" i="5"/>
  <c r="BJ56" i="5"/>
  <c r="AM56" i="5"/>
  <c r="AI56" i="5"/>
  <c r="AE56" i="5"/>
  <c r="AA56" i="5"/>
  <c r="AV56" i="5"/>
  <c r="BI57" i="5"/>
  <c r="BH57" i="5"/>
  <c r="BG57" i="5"/>
  <c r="BF57" i="5"/>
  <c r="BE57" i="5"/>
  <c r="BJ57" i="5"/>
  <c r="BI58" i="5"/>
  <c r="BH58" i="5"/>
  <c r="BG58" i="5"/>
  <c r="BF58" i="5"/>
  <c r="BE58" i="5"/>
  <c r="BJ58" i="5"/>
  <c r="AM58" i="5"/>
  <c r="AI58" i="5"/>
  <c r="AE58" i="5"/>
  <c r="AA58" i="5"/>
  <c r="AV58" i="5"/>
  <c r="BI59" i="5"/>
  <c r="BH59" i="5"/>
  <c r="BG59" i="5"/>
  <c r="BF59" i="5"/>
  <c r="BE59" i="5"/>
  <c r="BJ59" i="5"/>
  <c r="AM59" i="5"/>
  <c r="AI59" i="5"/>
  <c r="AE59" i="5"/>
  <c r="AA59" i="5"/>
  <c r="BI60" i="5"/>
  <c r="BH60" i="5"/>
  <c r="BG60" i="5"/>
  <c r="BF60" i="5"/>
  <c r="BE60" i="5"/>
  <c r="BJ60" i="5"/>
  <c r="AQ60" i="5"/>
  <c r="AM60" i="5"/>
  <c r="AI60" i="5"/>
  <c r="AE60" i="5"/>
  <c r="AA60" i="5"/>
  <c r="AV60" i="5"/>
  <c r="BI61" i="5"/>
  <c r="BH61" i="5"/>
  <c r="BG61" i="5"/>
  <c r="BF61" i="5"/>
  <c r="BE61" i="5"/>
  <c r="BJ61" i="5"/>
  <c r="AQ61" i="5"/>
  <c r="AM61" i="5"/>
  <c r="AI61" i="5"/>
  <c r="AE61" i="5"/>
  <c r="AA61" i="5"/>
  <c r="AV61" i="5"/>
  <c r="BI62" i="5"/>
  <c r="BH62" i="5"/>
  <c r="BG62" i="5"/>
  <c r="BF62" i="5"/>
  <c r="BE62" i="5"/>
  <c r="BJ62" i="5"/>
  <c r="AQ62" i="5"/>
  <c r="AM62" i="5"/>
  <c r="AI62" i="5"/>
  <c r="AE62" i="5"/>
  <c r="AA62" i="5"/>
  <c r="AV62" i="5"/>
  <c r="BI63" i="5"/>
  <c r="BH63" i="5"/>
  <c r="BG63" i="5"/>
  <c r="BF63" i="5"/>
  <c r="BE63" i="5"/>
  <c r="BJ63" i="5"/>
  <c r="AI63" i="5"/>
  <c r="BI64" i="5"/>
  <c r="BH64" i="5"/>
  <c r="BG64" i="5"/>
  <c r="BF64" i="5"/>
  <c r="BE64" i="5"/>
  <c r="BJ64" i="5"/>
  <c r="AQ64" i="5"/>
  <c r="AM64" i="5"/>
  <c r="AI64" i="5"/>
  <c r="AE64" i="5"/>
  <c r="AA64" i="5"/>
  <c r="AV64" i="5"/>
  <c r="BI65" i="5"/>
  <c r="BH65" i="5"/>
  <c r="BG65" i="5"/>
  <c r="BF65" i="5"/>
  <c r="BE65" i="5"/>
  <c r="BJ65" i="5"/>
  <c r="AQ65" i="5"/>
  <c r="AM65" i="5"/>
  <c r="AI65" i="5"/>
  <c r="AE65" i="5"/>
  <c r="AA65" i="5"/>
  <c r="BI66" i="5"/>
  <c r="BH66" i="5"/>
  <c r="BG66" i="5"/>
  <c r="BF66" i="5"/>
  <c r="BE66" i="5"/>
  <c r="BJ66" i="5"/>
  <c r="AQ66" i="5"/>
  <c r="AM66" i="5"/>
  <c r="AI66" i="5"/>
  <c r="AE66" i="5"/>
  <c r="AA66" i="5"/>
  <c r="AV66" i="5"/>
  <c r="BI67" i="5"/>
  <c r="BH67" i="5"/>
  <c r="BG67" i="5"/>
  <c r="BF67" i="5"/>
  <c r="BE67" i="5"/>
  <c r="BJ67" i="5"/>
  <c r="AQ67" i="5"/>
  <c r="AM67" i="5"/>
  <c r="AI67" i="5"/>
  <c r="AE67" i="5"/>
  <c r="AA67" i="5"/>
  <c r="AV67" i="5"/>
  <c r="BI68" i="5"/>
  <c r="BH68" i="5"/>
  <c r="BG68" i="5"/>
  <c r="BF68" i="5"/>
  <c r="BE68" i="5"/>
  <c r="BJ68" i="5"/>
  <c r="AQ68" i="5"/>
  <c r="AM68" i="5"/>
  <c r="AI68" i="5"/>
  <c r="AE68" i="5"/>
  <c r="AA68" i="5"/>
  <c r="AV68" i="5"/>
  <c r="BI69" i="5"/>
  <c r="BH69" i="5"/>
  <c r="BG69" i="5"/>
  <c r="BF69" i="5"/>
  <c r="BE69" i="5"/>
  <c r="BJ69" i="5"/>
  <c r="AI69" i="5"/>
  <c r="BI70" i="5"/>
  <c r="BH70" i="5"/>
  <c r="BG70" i="5"/>
  <c r="BF70" i="5"/>
  <c r="BE70" i="5"/>
  <c r="BJ70" i="5"/>
  <c r="AQ70" i="5"/>
  <c r="AM70" i="5"/>
  <c r="AI70" i="5"/>
  <c r="AE70" i="5"/>
  <c r="AA70" i="5"/>
  <c r="AV70" i="5"/>
  <c r="BI71" i="5"/>
  <c r="BH71" i="5"/>
  <c r="BG71" i="5"/>
  <c r="BF71" i="5"/>
  <c r="BE71" i="5"/>
  <c r="BJ71" i="5"/>
  <c r="AQ71" i="5"/>
  <c r="AM71" i="5"/>
  <c r="AI71" i="5"/>
  <c r="AE71" i="5"/>
  <c r="AA71" i="5"/>
  <c r="BI72" i="5"/>
  <c r="BH72" i="5"/>
  <c r="BG72" i="5"/>
  <c r="BF72" i="5"/>
  <c r="BE72" i="5"/>
  <c r="BJ72" i="5"/>
  <c r="AQ72" i="5"/>
  <c r="AM72" i="5"/>
  <c r="AI72" i="5"/>
  <c r="AE72" i="5"/>
  <c r="AA72" i="5"/>
  <c r="AV72" i="5"/>
  <c r="BI73" i="5"/>
  <c r="BH73" i="5"/>
  <c r="BG73" i="5"/>
  <c r="BF73" i="5"/>
  <c r="BE73" i="5"/>
  <c r="BJ73" i="5"/>
  <c r="AQ73" i="5"/>
  <c r="AM73" i="5"/>
  <c r="AI73" i="5"/>
  <c r="AE73" i="5"/>
  <c r="AA73" i="5"/>
  <c r="AV73" i="5"/>
  <c r="BI74" i="5"/>
  <c r="BH74" i="5"/>
  <c r="BG74" i="5"/>
  <c r="BF74" i="5"/>
  <c r="BE74" i="5"/>
  <c r="BJ74" i="5"/>
  <c r="AQ74" i="5"/>
  <c r="AM74" i="5"/>
  <c r="AI74" i="5"/>
  <c r="AE74" i="5"/>
  <c r="AA74" i="5"/>
  <c r="AV74" i="5"/>
  <c r="BI75" i="5"/>
  <c r="BH75" i="5"/>
  <c r="BG75" i="5"/>
  <c r="BF75" i="5"/>
  <c r="BE75" i="5"/>
  <c r="BJ75" i="5"/>
  <c r="AI75" i="5"/>
  <c r="BI76" i="5"/>
  <c r="BH76" i="5"/>
  <c r="BG76" i="5"/>
  <c r="BF76" i="5"/>
  <c r="BE76" i="5"/>
  <c r="BJ76" i="5"/>
  <c r="AQ76" i="5"/>
  <c r="AM76" i="5"/>
  <c r="AI76" i="5"/>
  <c r="AE76" i="5"/>
  <c r="AA76" i="5"/>
  <c r="AV76" i="5"/>
  <c r="BI77" i="5"/>
  <c r="BH77" i="5"/>
  <c r="BG77" i="5"/>
  <c r="BF77" i="5"/>
  <c r="BE77" i="5"/>
  <c r="BJ77" i="5"/>
  <c r="AQ77" i="5"/>
  <c r="AM77" i="5"/>
  <c r="AI77" i="5"/>
  <c r="AE77" i="5"/>
  <c r="AA77" i="5"/>
  <c r="BI78" i="5"/>
  <c r="BH78" i="5"/>
  <c r="BG78" i="5"/>
  <c r="BF78" i="5"/>
  <c r="BE78" i="5"/>
  <c r="BJ78" i="5"/>
  <c r="AQ78" i="5"/>
  <c r="AM78" i="5"/>
  <c r="AI78" i="5"/>
  <c r="AE78" i="5"/>
  <c r="AA78" i="5"/>
  <c r="AV78" i="5"/>
  <c r="BI79" i="5"/>
  <c r="BH79" i="5"/>
  <c r="BG79" i="5"/>
  <c r="BF79" i="5"/>
  <c r="BE79" i="5"/>
  <c r="BJ79" i="5"/>
  <c r="AQ79" i="5"/>
  <c r="AM79" i="5"/>
  <c r="AI79" i="5"/>
  <c r="AE79" i="5"/>
  <c r="AA79" i="5"/>
  <c r="AV79" i="5"/>
  <c r="BI80" i="5"/>
  <c r="BH80" i="5"/>
  <c r="BG80" i="5"/>
  <c r="BF80" i="5"/>
  <c r="BE80" i="5"/>
  <c r="BJ80" i="5"/>
  <c r="AQ80" i="5"/>
  <c r="AM80" i="5"/>
  <c r="AI80" i="5"/>
  <c r="AE80" i="5"/>
  <c r="AA80" i="5"/>
  <c r="AV80" i="5"/>
  <c r="BI81" i="5"/>
  <c r="BH81" i="5"/>
  <c r="BG81" i="5"/>
  <c r="BF81" i="5"/>
  <c r="BE81" i="5"/>
  <c r="BJ81" i="5"/>
  <c r="AI81" i="5"/>
  <c r="BI82" i="5"/>
  <c r="BH82" i="5"/>
  <c r="BG82" i="5"/>
  <c r="BF82" i="5"/>
  <c r="BE82" i="5"/>
  <c r="BJ82" i="5"/>
  <c r="AQ82" i="5"/>
  <c r="AR82" i="5"/>
  <c r="AM82" i="5"/>
  <c r="AN82" i="5"/>
  <c r="AI82" i="5"/>
  <c r="AJ82" i="5"/>
  <c r="AE82" i="5"/>
  <c r="AF82" i="5"/>
  <c r="AA82" i="5"/>
  <c r="AB82" i="5"/>
  <c r="AV82" i="5"/>
  <c r="AW82" i="5"/>
  <c r="BI83" i="5"/>
  <c r="BH83" i="5"/>
  <c r="BG83" i="5"/>
  <c r="BF83" i="5"/>
  <c r="BE83" i="5"/>
  <c r="BJ83" i="5"/>
  <c r="AQ83" i="5"/>
  <c r="AM83" i="5"/>
  <c r="AI83" i="5"/>
  <c r="AE83" i="5"/>
  <c r="AA83" i="5"/>
  <c r="BI84" i="5"/>
  <c r="BH84" i="5"/>
  <c r="BG84" i="5"/>
  <c r="BF84" i="5"/>
  <c r="BE84" i="5"/>
  <c r="BJ84" i="5"/>
  <c r="AQ84" i="5"/>
  <c r="AM84" i="5"/>
  <c r="AI84" i="5"/>
  <c r="AE84" i="5"/>
  <c r="AA84" i="5"/>
  <c r="BI85" i="5"/>
  <c r="BH85" i="5"/>
  <c r="BG85" i="5"/>
  <c r="BF85" i="5"/>
  <c r="BE85" i="5"/>
  <c r="BJ85" i="5"/>
  <c r="AQ85" i="5"/>
  <c r="AM85" i="5"/>
  <c r="AI85" i="5"/>
  <c r="AE85" i="5"/>
  <c r="AA85" i="5"/>
  <c r="AV85" i="5"/>
  <c r="BI86" i="5"/>
  <c r="BH86" i="5"/>
  <c r="BG86" i="5"/>
  <c r="BF86" i="5"/>
  <c r="BE86" i="5"/>
  <c r="BJ86" i="5"/>
  <c r="AV86" i="5"/>
  <c r="AW86" i="5"/>
  <c r="AQ86" i="5"/>
  <c r="AR86" i="5"/>
  <c r="AM86" i="5"/>
  <c r="AN86" i="5"/>
  <c r="AI86" i="5"/>
  <c r="AJ86" i="5"/>
  <c r="AE86" i="5"/>
  <c r="AF86" i="5"/>
  <c r="AA86" i="5"/>
  <c r="AB86" i="5"/>
  <c r="C21" i="4"/>
  <c r="E22" i="4"/>
  <c r="F20" i="4"/>
  <c r="E20" i="4"/>
  <c r="AN6" i="9"/>
  <c r="D20" i="4"/>
  <c r="C26" i="4"/>
  <c r="F25" i="4"/>
  <c r="E25" i="4"/>
  <c r="D25" i="4"/>
  <c r="C31" i="4"/>
  <c r="F30" i="4"/>
  <c r="E30" i="4"/>
  <c r="D30" i="4"/>
  <c r="C36" i="4"/>
  <c r="F35" i="4"/>
  <c r="E35" i="4"/>
  <c r="D35" i="4"/>
  <c r="C41" i="4"/>
  <c r="F40" i="4"/>
  <c r="E40" i="4"/>
  <c r="D40" i="4"/>
  <c r="E52" i="12"/>
  <c r="E38" i="14"/>
  <c r="F38" i="14"/>
  <c r="BH27" i="9"/>
  <c r="BE9" i="9"/>
  <c r="J15" i="9"/>
  <c r="BR35" i="9"/>
  <c r="BJ35" i="9"/>
  <c r="BO35" i="9"/>
  <c r="H35" i="9"/>
  <c r="BP35" i="9"/>
  <c r="BE35" i="9"/>
  <c r="D16" i="9"/>
  <c r="E16" i="9" s="1"/>
  <c r="BR16" i="9"/>
  <c r="BJ34" i="9"/>
  <c r="BV35" i="9"/>
  <c r="BR10" i="9"/>
  <c r="CB16" i="9"/>
  <c r="J16" i="9"/>
  <c r="BJ16" i="9"/>
  <c r="BS16" i="9"/>
  <c r="CA35" i="9"/>
  <c r="A40" i="9"/>
  <c r="BM32" i="9"/>
  <c r="O35" i="9"/>
  <c r="BH22" i="9"/>
  <c r="J31" i="9"/>
  <c r="BL38" i="9"/>
  <c r="L42" i="9"/>
  <c r="S44" i="9"/>
  <c r="Q42" i="9"/>
  <c r="BT42" i="9"/>
  <c r="S42" i="9"/>
  <c r="BO38" i="9"/>
  <c r="G38" i="9"/>
  <c r="A46" i="9"/>
  <c r="K46" i="9"/>
  <c r="H57" i="9"/>
  <c r="S59" i="9"/>
  <c r="Q59" i="9"/>
  <c r="DL59" i="2" s="1"/>
  <c r="BO41" i="9"/>
  <c r="V35" i="9"/>
  <c r="BS28" i="9"/>
  <c r="BQ31" i="9"/>
  <c r="Q31" i="9"/>
  <c r="G28" i="9"/>
  <c r="R31" i="9"/>
  <c r="BL31" i="9"/>
  <c r="BU31" i="9"/>
  <c r="H32" i="9"/>
  <c r="CC32" i="9"/>
  <c r="BM25" i="9"/>
  <c r="BL30" i="9"/>
  <c r="I32" i="9"/>
  <c r="BU32" i="9"/>
  <c r="BW25" i="9"/>
  <c r="K28" i="9"/>
  <c r="BP31" i="9"/>
  <c r="BZ31" i="9"/>
  <c r="BF32" i="9"/>
  <c r="BQ25" i="9"/>
  <c r="BP28" i="9"/>
  <c r="A31" i="9"/>
  <c r="CA31" i="9"/>
  <c r="D32" i="9"/>
  <c r="E32" i="9" s="1"/>
  <c r="BG32" i="9"/>
  <c r="BV30" i="9"/>
  <c r="D31" i="9"/>
  <c r="E31" i="9"/>
  <c r="BS31" i="9"/>
  <c r="CB31" i="9"/>
  <c r="BR32" i="9"/>
  <c r="S32" i="9"/>
  <c r="P32" i="9"/>
  <c r="CA32" i="9"/>
  <c r="B52" i="12"/>
  <c r="F52" i="12"/>
  <c r="B77" i="11"/>
  <c r="G62" i="18"/>
  <c r="F27" i="18"/>
  <c r="E52" i="18"/>
  <c r="D25" i="13"/>
  <c r="D26" i="13"/>
  <c r="D27" i="13"/>
  <c r="D28" i="13"/>
  <c r="F28" i="13"/>
  <c r="E67" i="18"/>
  <c r="F78" i="14"/>
  <c r="E53" i="14"/>
  <c r="F24" i="13"/>
  <c r="B38" i="14"/>
  <c r="E58" i="14"/>
  <c r="E32" i="11"/>
  <c r="B32" i="12"/>
  <c r="B27" i="18"/>
  <c r="G52" i="18"/>
  <c r="F67" i="18"/>
  <c r="F58" i="14"/>
  <c r="B83" i="14"/>
  <c r="F32" i="11"/>
  <c r="C72" i="11"/>
  <c r="C27" i="18"/>
  <c r="G67" i="18"/>
  <c r="G43" i="14"/>
  <c r="D59" i="14"/>
  <c r="D60" i="14"/>
  <c r="D61" i="14"/>
  <c r="D62" i="14"/>
  <c r="F62" i="14"/>
  <c r="C83" i="14"/>
  <c r="G32" i="11"/>
  <c r="D68" i="18"/>
  <c r="F69" i="18"/>
  <c r="D33" i="11"/>
  <c r="D34" i="11"/>
  <c r="D35" i="11"/>
  <c r="D36" i="11"/>
  <c r="F36" i="11"/>
  <c r="E72" i="11"/>
  <c r="G83" i="14"/>
  <c r="D28" i="18"/>
  <c r="G28" i="18"/>
  <c r="B52" i="18"/>
  <c r="B67" i="18"/>
  <c r="F72" i="18"/>
  <c r="B32" i="11"/>
  <c r="C52" i="18"/>
  <c r="D73" i="18"/>
  <c r="F73" i="18"/>
  <c r="B58" i="14"/>
  <c r="E93" i="14"/>
  <c r="C67" i="11"/>
  <c r="G27" i="18"/>
  <c r="D33" i="18"/>
  <c r="F33" i="18"/>
  <c r="F52" i="18"/>
  <c r="E72" i="18"/>
  <c r="E24" i="13"/>
  <c r="D49" i="14"/>
  <c r="G49" i="14"/>
  <c r="D89" i="14"/>
  <c r="F90" i="14"/>
  <c r="E28" i="14"/>
  <c r="G38" i="14"/>
  <c r="D44" i="14"/>
  <c r="F44" i="14"/>
  <c r="B53" i="14"/>
  <c r="C58" i="14"/>
  <c r="G78" i="14"/>
  <c r="D84" i="14"/>
  <c r="G84" i="14"/>
  <c r="B93" i="14"/>
  <c r="B52" i="11"/>
  <c r="C52" i="12"/>
  <c r="B32" i="18"/>
  <c r="G72" i="18"/>
  <c r="G24" i="13"/>
  <c r="D39" i="14"/>
  <c r="G39" i="14"/>
  <c r="B48" i="14"/>
  <c r="C53" i="14"/>
  <c r="F68" i="14"/>
  <c r="D79" i="14"/>
  <c r="F79" i="14"/>
  <c r="B88" i="14"/>
  <c r="C93" i="14"/>
  <c r="C32" i="18"/>
  <c r="F62" i="18"/>
  <c r="G28" i="14"/>
  <c r="C48" i="14"/>
  <c r="C88" i="14"/>
  <c r="D68" i="11"/>
  <c r="F68" i="11"/>
  <c r="E32" i="18"/>
  <c r="D63" i="18"/>
  <c r="G63" i="18"/>
  <c r="B72" i="18"/>
  <c r="B24" i="13"/>
  <c r="C38" i="14"/>
  <c r="E48" i="14"/>
  <c r="F53" i="14"/>
  <c r="C78" i="14"/>
  <c r="E88" i="14"/>
  <c r="F93" i="14"/>
  <c r="E42" i="12"/>
  <c r="F32" i="18"/>
  <c r="D58" i="18"/>
  <c r="F59" i="18"/>
  <c r="B28" i="14"/>
  <c r="F48" i="14"/>
  <c r="G53" i="14"/>
  <c r="E83" i="14"/>
  <c r="F88" i="14"/>
  <c r="G93" i="14"/>
  <c r="BM49" i="9"/>
  <c r="D49" i="9"/>
  <c r="E49" i="9" s="1"/>
  <c r="N49" i="9"/>
  <c r="BX49" i="9"/>
  <c r="H49" i="9"/>
  <c r="I49" i="9"/>
  <c r="E39" i="13"/>
  <c r="BS49" i="9"/>
  <c r="BX48" i="9"/>
  <c r="BI48" i="9"/>
  <c r="BZ48" i="9"/>
  <c r="O48" i="9"/>
  <c r="BT48" i="9"/>
  <c r="CB48" i="9"/>
  <c r="BU48" i="9"/>
  <c r="BF48" i="9"/>
  <c r="P53" i="9"/>
  <c r="O65" i="9"/>
  <c r="G65" i="9"/>
  <c r="I65" i="9"/>
  <c r="R65" i="9"/>
  <c r="BO44" i="9"/>
  <c r="O43" i="9"/>
  <c r="O44" i="9"/>
  <c r="DJ39" i="2" s="1"/>
  <c r="E82" i="18"/>
  <c r="O45" i="9"/>
  <c r="S38" i="9"/>
  <c r="BR38" i="9"/>
  <c r="L37" i="9"/>
  <c r="BP37" i="9"/>
  <c r="N38" i="9"/>
  <c r="BK38" i="9"/>
  <c r="BK37" i="9"/>
  <c r="N37" i="9"/>
  <c r="BI37" i="9"/>
  <c r="BY38" i="9"/>
  <c r="BQ38" i="9"/>
  <c r="BI38" i="9"/>
  <c r="L38" i="9"/>
  <c r="A38" i="9"/>
  <c r="BX38" i="9"/>
  <c r="BP38" i="9"/>
  <c r="BH38" i="9"/>
  <c r="P38" i="9"/>
  <c r="BM38" i="9"/>
  <c r="BW38" i="9"/>
  <c r="S39" i="9"/>
  <c r="G39" i="9"/>
  <c r="K37" i="9"/>
  <c r="K38" i="9"/>
  <c r="BJ38" i="9"/>
  <c r="BT38" i="9"/>
  <c r="K39" i="9"/>
  <c r="F54" i="18"/>
  <c r="E57" i="18"/>
  <c r="F57" i="18"/>
  <c r="B57" i="18"/>
  <c r="E42" i="4"/>
  <c r="C42" i="4"/>
  <c r="C43" i="4"/>
  <c r="F41" i="4"/>
  <c r="E41" i="4"/>
  <c r="E37" i="4"/>
  <c r="C37" i="4"/>
  <c r="C38" i="4"/>
  <c r="F36" i="4"/>
  <c r="E36" i="4"/>
  <c r="E32" i="4"/>
  <c r="C32" i="4"/>
  <c r="C33" i="4"/>
  <c r="F31" i="4"/>
  <c r="E31" i="4"/>
  <c r="E27" i="4"/>
  <c r="C27" i="4"/>
  <c r="C28" i="4"/>
  <c r="F26" i="4"/>
  <c r="E26" i="4"/>
  <c r="C22" i="4"/>
  <c r="C23" i="4"/>
  <c r="F21" i="4"/>
  <c r="E21" i="4"/>
  <c r="AB85" i="5"/>
  <c r="AB84" i="5"/>
  <c r="AB83" i="5"/>
  <c r="AF85" i="5"/>
  <c r="AF83" i="5"/>
  <c r="AJ85" i="5"/>
  <c r="AJ84" i="5"/>
  <c r="AJ83" i="5"/>
  <c r="AN85" i="5"/>
  <c r="AN84" i="5"/>
  <c r="AN83" i="5"/>
  <c r="AR85" i="5"/>
  <c r="AR84" i="5"/>
  <c r="AR83" i="5"/>
  <c r="AJ81" i="5"/>
  <c r="AJ80" i="5"/>
  <c r="AJ79" i="5"/>
  <c r="AJ78" i="5"/>
  <c r="AJ77" i="5"/>
  <c r="AJ76" i="5"/>
  <c r="AJ75" i="5"/>
  <c r="AW74" i="5"/>
  <c r="AW73" i="5"/>
  <c r="AB74" i="5"/>
  <c r="AB73" i="5"/>
  <c r="AF74" i="5"/>
  <c r="AF73" i="5"/>
  <c r="AJ74" i="5"/>
  <c r="AJ73" i="5"/>
  <c r="AN74" i="5"/>
  <c r="AN73" i="5"/>
  <c r="AR74" i="5"/>
  <c r="AR73" i="5"/>
  <c r="AJ72" i="5"/>
  <c r="AJ71" i="5"/>
  <c r="AJ70" i="5"/>
  <c r="AJ69" i="5"/>
  <c r="AJ68" i="5"/>
  <c r="AW67" i="5"/>
  <c r="AW66" i="5"/>
  <c r="AB67" i="5"/>
  <c r="AB66" i="5"/>
  <c r="AF67" i="5"/>
  <c r="AF66" i="5"/>
  <c r="AJ67" i="5"/>
  <c r="AJ66" i="5"/>
  <c r="AN67" i="5"/>
  <c r="AN66" i="5"/>
  <c r="AR67" i="5"/>
  <c r="AR66" i="5"/>
  <c r="AJ65" i="5"/>
  <c r="AJ64" i="5"/>
  <c r="AJ63" i="5"/>
  <c r="AJ62" i="5"/>
  <c r="AR61" i="5"/>
  <c r="AR60" i="5"/>
  <c r="AR59" i="5"/>
  <c r="AR58" i="5"/>
  <c r="AR57" i="5"/>
  <c r="AW56" i="5"/>
  <c r="AW55" i="5"/>
  <c r="AB56" i="5"/>
  <c r="AB55" i="5"/>
  <c r="AF56" i="5"/>
  <c r="AF55" i="5"/>
  <c r="AJ56" i="5"/>
  <c r="AJ55" i="5"/>
  <c r="AN56" i="5"/>
  <c r="AN55" i="5"/>
  <c r="AR56" i="5"/>
  <c r="AR55" i="5"/>
  <c r="AR53" i="5"/>
  <c r="AR52" i="5"/>
  <c r="AR51" i="5"/>
  <c r="AR50" i="5"/>
  <c r="AB48" i="5"/>
  <c r="AB47" i="5"/>
  <c r="AB46" i="5"/>
  <c r="AF48" i="5"/>
  <c r="AF47" i="5"/>
  <c r="AF46" i="5"/>
  <c r="AJ48" i="5"/>
  <c r="AJ47" i="5"/>
  <c r="AJ46" i="5"/>
  <c r="AN48" i="5"/>
  <c r="AN47" i="5"/>
  <c r="AN46" i="5"/>
  <c r="AR48" i="5"/>
  <c r="AR47" i="5"/>
  <c r="AR46" i="5"/>
  <c r="AB45" i="5"/>
  <c r="AB44" i="5"/>
  <c r="AR45" i="5"/>
  <c r="AR44" i="5"/>
  <c r="AB43" i="5"/>
  <c r="AB42" i="5"/>
  <c r="AB41" i="5"/>
  <c r="AF43" i="5"/>
  <c r="AF42" i="5"/>
  <c r="AF41" i="5"/>
  <c r="AJ43" i="5"/>
  <c r="AJ42" i="5"/>
  <c r="AJ41" i="5"/>
  <c r="AN43" i="5"/>
  <c r="AN42" i="5"/>
  <c r="AN41" i="5"/>
  <c r="AR43" i="5"/>
  <c r="AR42" i="5"/>
  <c r="AR41" i="5"/>
  <c r="AB40" i="5"/>
  <c r="AB39" i="5"/>
  <c r="AB38" i="5"/>
  <c r="AB37" i="5"/>
  <c r="AB36" i="5"/>
  <c r="AB35" i="5"/>
  <c r="AF38" i="5"/>
  <c r="AF37" i="5"/>
  <c r="AF36" i="5"/>
  <c r="AF35" i="5"/>
  <c r="AJ38" i="5"/>
  <c r="AJ37" i="5"/>
  <c r="AJ36" i="5"/>
  <c r="AJ35" i="5"/>
  <c r="AN38" i="5"/>
  <c r="AN37" i="5"/>
  <c r="AN36" i="5"/>
  <c r="AN35" i="5"/>
  <c r="AR38" i="5"/>
  <c r="AR37" i="5"/>
  <c r="AR36" i="5"/>
  <c r="AR35" i="5"/>
  <c r="AB34" i="5"/>
  <c r="AB33" i="5"/>
  <c r="AB32" i="5"/>
  <c r="AB25" i="5"/>
  <c r="AB24" i="5"/>
  <c r="AF25" i="5"/>
  <c r="AF24" i="5"/>
  <c r="AJ25" i="5"/>
  <c r="AJ24" i="5"/>
  <c r="AN25" i="5"/>
  <c r="AN24" i="5"/>
  <c r="AR25" i="5"/>
  <c r="AR24" i="5"/>
  <c r="AN23" i="5"/>
  <c r="AN22" i="5"/>
  <c r="AR23" i="5"/>
  <c r="AR22" i="5"/>
  <c r="AW13" i="5"/>
  <c r="AW12" i="5"/>
  <c r="AB13" i="5"/>
  <c r="AB12" i="5"/>
  <c r="AF13" i="5"/>
  <c r="AF12" i="5"/>
  <c r="AJ13" i="5"/>
  <c r="AJ12" i="5"/>
  <c r="AN13" i="5"/>
  <c r="AN12" i="5"/>
  <c r="AR13" i="5"/>
  <c r="AR12" i="5"/>
  <c r="G28" i="11"/>
  <c r="D29" i="11"/>
  <c r="D30" i="11"/>
  <c r="D31" i="11"/>
  <c r="F31" i="11"/>
  <c r="C39" i="4"/>
  <c r="E39" i="4"/>
  <c r="E38" i="4"/>
  <c r="C44" i="4"/>
  <c r="E44" i="4"/>
  <c r="E43" i="4"/>
  <c r="D30" i="13"/>
  <c r="G30" i="13"/>
  <c r="G29" i="13"/>
  <c r="B29" i="13"/>
  <c r="F29" i="13"/>
  <c r="E29" i="13"/>
  <c r="L6" i="9"/>
  <c r="CJ6" i="9"/>
  <c r="CK6" i="9"/>
  <c r="CL6" i="9"/>
  <c r="CM6" i="9"/>
  <c r="CN6" i="9"/>
  <c r="CO6" i="9"/>
  <c r="CP6" i="9"/>
  <c r="CQ6" i="9"/>
  <c r="CR6" i="9"/>
  <c r="CS6" i="9"/>
  <c r="CT6" i="9"/>
  <c r="CU6" i="9"/>
  <c r="CV6" i="9"/>
  <c r="CW6" i="9"/>
  <c r="CX6" i="9"/>
  <c r="CY6" i="9"/>
  <c r="CZ6" i="9"/>
  <c r="DA6" i="9"/>
  <c r="DB6" i="9"/>
  <c r="DC6" i="9"/>
  <c r="DD6" i="9"/>
  <c r="DE6" i="9"/>
  <c r="DF6" i="9"/>
  <c r="DG6" i="9"/>
  <c r="DH6" i="9"/>
  <c r="DI6" i="9"/>
  <c r="DJ6" i="9"/>
  <c r="DK6" i="9"/>
  <c r="DL6" i="9"/>
  <c r="DM6" i="9"/>
  <c r="DN6" i="9"/>
  <c r="DO6" i="9"/>
  <c r="DP6" i="9"/>
  <c r="DQ6" i="9"/>
  <c r="DR6" i="9"/>
  <c r="DS6" i="9"/>
  <c r="DT6" i="9"/>
  <c r="DU6" i="9"/>
  <c r="DV6" i="9"/>
  <c r="DW6" i="9"/>
  <c r="DX6" i="9"/>
  <c r="DY6" i="9"/>
  <c r="CI6" i="9"/>
  <c r="S6" i="9"/>
  <c r="CI7" i="9"/>
  <c r="CJ7" i="9"/>
  <c r="CK7" i="9"/>
  <c r="CL7" i="9"/>
  <c r="CM7" i="9"/>
  <c r="CN7" i="9"/>
  <c r="CO7" i="9"/>
  <c r="CP7" i="9"/>
  <c r="CQ7" i="9"/>
  <c r="CR7" i="9"/>
  <c r="CS7" i="9"/>
  <c r="CT7" i="9"/>
  <c r="CU7" i="9"/>
  <c r="CV7" i="9"/>
  <c r="CW7" i="9"/>
  <c r="CX7" i="9"/>
  <c r="CY7" i="9"/>
  <c r="CZ7" i="9"/>
  <c r="DA7" i="9"/>
  <c r="DB7" i="9"/>
  <c r="DC7" i="9"/>
  <c r="DD7" i="9"/>
  <c r="DE7" i="9"/>
  <c r="DF7" i="9"/>
  <c r="DG7" i="9"/>
  <c r="DH7" i="9"/>
  <c r="DI7" i="9"/>
  <c r="DJ7" i="9"/>
  <c r="DK7" i="9"/>
  <c r="DL7" i="9"/>
  <c r="DM7" i="9"/>
  <c r="DN7" i="9"/>
  <c r="DO7" i="9"/>
  <c r="DP7" i="9"/>
  <c r="DQ7" i="9"/>
  <c r="DR7" i="9"/>
  <c r="DS7" i="9"/>
  <c r="DT7" i="9"/>
  <c r="DU7" i="9"/>
  <c r="DV7" i="9"/>
  <c r="DW7" i="9"/>
  <c r="DX7" i="9"/>
  <c r="BH8" i="9"/>
  <c r="CI8" i="9"/>
  <c r="CJ8" i="9"/>
  <c r="CK8" i="9"/>
  <c r="CL8" i="9"/>
  <c r="CM8" i="9"/>
  <c r="CN8" i="9"/>
  <c r="CO8" i="9"/>
  <c r="CP8" i="9"/>
  <c r="CQ8" i="9"/>
  <c r="CR8" i="9"/>
  <c r="CS8" i="9"/>
  <c r="CT8" i="9"/>
  <c r="CU8" i="9"/>
  <c r="CV8" i="9"/>
  <c r="CW8" i="9"/>
  <c r="CX8" i="9"/>
  <c r="CY8" i="9"/>
  <c r="CZ8" i="9"/>
  <c r="DA8" i="9"/>
  <c r="DB8" i="9"/>
  <c r="DC8" i="9"/>
  <c r="DD8" i="9"/>
  <c r="DE8" i="9"/>
  <c r="DF8" i="9"/>
  <c r="DG8" i="9"/>
  <c r="DH8" i="9"/>
  <c r="DI8" i="9"/>
  <c r="DJ8" i="9"/>
  <c r="DK8" i="9"/>
  <c r="DL8" i="9"/>
  <c r="DM8" i="9"/>
  <c r="DN8" i="9"/>
  <c r="DO8" i="9"/>
  <c r="DP8" i="9"/>
  <c r="DQ8" i="9"/>
  <c r="DR8" i="9"/>
  <c r="DS8" i="9"/>
  <c r="DT8" i="9"/>
  <c r="DU8" i="9"/>
  <c r="DV8" i="9"/>
  <c r="DW8" i="9"/>
  <c r="DX8" i="9"/>
  <c r="BF9" i="9"/>
  <c r="CI9" i="9"/>
  <c r="CJ9" i="9"/>
  <c r="CK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BN10" i="9"/>
  <c r="CI10" i="9"/>
  <c r="CJ10" i="9"/>
  <c r="CK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BM11" i="9"/>
  <c r="CI11" i="9"/>
  <c r="CJ11" i="9"/>
  <c r="CK11" i="9"/>
  <c r="CL11" i="9"/>
  <c r="CM11" i="9"/>
  <c r="CN11" i="9"/>
  <c r="CO11" i="9"/>
  <c r="CP11" i="9"/>
  <c r="CQ11" i="9"/>
  <c r="CR11" i="9"/>
  <c r="CS11" i="9"/>
  <c r="CT11" i="9"/>
  <c r="CU11" i="9"/>
  <c r="CV11" i="9"/>
  <c r="CW11" i="9"/>
  <c r="CX11" i="9"/>
  <c r="CY11" i="9"/>
  <c r="CZ11" i="9"/>
  <c r="DA11" i="9"/>
  <c r="DB11" i="9"/>
  <c r="DC11" i="9"/>
  <c r="DD11" i="9"/>
  <c r="DE11" i="9"/>
  <c r="DF11" i="9"/>
  <c r="DG11" i="9"/>
  <c r="DH11" i="9"/>
  <c r="DI11" i="9"/>
  <c r="DJ11" i="9"/>
  <c r="DK11" i="9"/>
  <c r="DL11" i="9"/>
  <c r="DM11" i="9"/>
  <c r="DN11" i="9"/>
  <c r="DO11" i="9"/>
  <c r="DP11" i="9"/>
  <c r="DQ11" i="9"/>
  <c r="DR11" i="9"/>
  <c r="DS11" i="9"/>
  <c r="DT11" i="9"/>
  <c r="DU11" i="9"/>
  <c r="DV11" i="9"/>
  <c r="DW11" i="9"/>
  <c r="DX11" i="9"/>
  <c r="O12" i="9"/>
  <c r="CJ12" i="9"/>
  <c r="CK12" i="9"/>
  <c r="CL12" i="9"/>
  <c r="CM12" i="9"/>
  <c r="CN12" i="9"/>
  <c r="CO12" i="9"/>
  <c r="CP12" i="9"/>
  <c r="CQ12" i="9"/>
  <c r="CR12" i="9"/>
  <c r="CS12" i="9"/>
  <c r="CT12" i="9"/>
  <c r="CU12" i="9"/>
  <c r="CV12" i="9"/>
  <c r="CW12" i="9"/>
  <c r="CX12" i="9"/>
  <c r="CY12" i="9"/>
  <c r="CZ12" i="9"/>
  <c r="DA12" i="9"/>
  <c r="DB12" i="9"/>
  <c r="DC12" i="9"/>
  <c r="DD12" i="9"/>
  <c r="DE12" i="9"/>
  <c r="DF12" i="9"/>
  <c r="DG12" i="9"/>
  <c r="DH12" i="9"/>
  <c r="DI12" i="9"/>
  <c r="DJ12" i="9"/>
  <c r="DK12" i="9"/>
  <c r="DL12" i="9"/>
  <c r="DM12" i="9"/>
  <c r="DN12" i="9"/>
  <c r="DO12" i="9"/>
  <c r="DP12" i="9"/>
  <c r="DQ12" i="9"/>
  <c r="DR12" i="9"/>
  <c r="DS12" i="9"/>
  <c r="DT12" i="9"/>
  <c r="DU12" i="9"/>
  <c r="DV12" i="9"/>
  <c r="DW12" i="9"/>
  <c r="DX12" i="9"/>
  <c r="CI12" i="9"/>
  <c r="BG13" i="9"/>
  <c r="CI13" i="9"/>
  <c r="CJ13" i="9"/>
  <c r="CK13" i="9"/>
  <c r="CL13" i="9"/>
  <c r="CM13" i="9"/>
  <c r="CN13" i="9"/>
  <c r="CO13" i="9"/>
  <c r="CP13" i="9"/>
  <c r="CQ13" i="9"/>
  <c r="CR13" i="9"/>
  <c r="CS13" i="9"/>
  <c r="CT13" i="9"/>
  <c r="CU13" i="9"/>
  <c r="CV13" i="9"/>
  <c r="CW13" i="9"/>
  <c r="CX13" i="9"/>
  <c r="CY13" i="9"/>
  <c r="CZ13" i="9"/>
  <c r="DA13" i="9"/>
  <c r="DB13" i="9"/>
  <c r="DC13" i="9"/>
  <c r="DD13" i="9"/>
  <c r="DE13" i="9"/>
  <c r="DF13" i="9"/>
  <c r="DG13" i="9"/>
  <c r="DH13" i="9"/>
  <c r="DI13" i="9"/>
  <c r="DJ13" i="9"/>
  <c r="DK13" i="9"/>
  <c r="DL13" i="9"/>
  <c r="DM13" i="9"/>
  <c r="DN13" i="9"/>
  <c r="DO13" i="9"/>
  <c r="DP13" i="9"/>
  <c r="DQ13" i="9"/>
  <c r="DR13" i="9"/>
  <c r="DS13" i="9"/>
  <c r="DT13" i="9"/>
  <c r="DU13" i="9"/>
  <c r="DV13" i="9"/>
  <c r="DW13" i="9"/>
  <c r="DX13" i="9"/>
  <c r="BP14" i="9"/>
  <c r="CI14" i="9"/>
  <c r="CJ14" i="9"/>
  <c r="CK14" i="9"/>
  <c r="CL14" i="9"/>
  <c r="CM14" i="9"/>
  <c r="CN14" i="9"/>
  <c r="CO14" i="9"/>
  <c r="CP14" i="9"/>
  <c r="CQ14" i="9"/>
  <c r="CR14" i="9"/>
  <c r="CS14" i="9"/>
  <c r="CT14" i="9"/>
  <c r="CU14" i="9"/>
  <c r="CV14" i="9"/>
  <c r="CW14" i="9"/>
  <c r="CX14" i="9"/>
  <c r="CY14" i="9"/>
  <c r="CZ14" i="9"/>
  <c r="DA14" i="9"/>
  <c r="DB14" i="9"/>
  <c r="DC14" i="9"/>
  <c r="DD14" i="9"/>
  <c r="DE14" i="9"/>
  <c r="DF14" i="9"/>
  <c r="DG14" i="9"/>
  <c r="DH14" i="9"/>
  <c r="DI14" i="9"/>
  <c r="DJ14" i="9"/>
  <c r="DK14" i="9"/>
  <c r="DL14" i="9"/>
  <c r="DM14" i="9"/>
  <c r="DN14" i="9"/>
  <c r="DO14" i="9"/>
  <c r="DP14" i="9"/>
  <c r="DQ14" i="9"/>
  <c r="DR14" i="9"/>
  <c r="DS14" i="9"/>
  <c r="DT14" i="9"/>
  <c r="DU14" i="9"/>
  <c r="DV14" i="9"/>
  <c r="DW14" i="9"/>
  <c r="DX14" i="9"/>
  <c r="BW15" i="9"/>
  <c r="CI15" i="9"/>
  <c r="CJ15" i="9"/>
  <c r="CK15" i="9"/>
  <c r="CL15" i="9"/>
  <c r="CM15" i="9"/>
  <c r="CN15" i="9"/>
  <c r="CO15" i="9"/>
  <c r="CP15" i="9"/>
  <c r="CQ15" i="9"/>
  <c r="CR15" i="9"/>
  <c r="CS15" i="9"/>
  <c r="CT15" i="9"/>
  <c r="CU15" i="9"/>
  <c r="CV15" i="9"/>
  <c r="CW15" i="9"/>
  <c r="CX15" i="9"/>
  <c r="CY15" i="9"/>
  <c r="CZ15" i="9"/>
  <c r="DA15" i="9"/>
  <c r="DB15" i="9"/>
  <c r="DC15" i="9"/>
  <c r="DD15" i="9"/>
  <c r="DE15" i="9"/>
  <c r="DF15" i="9"/>
  <c r="DG15" i="9"/>
  <c r="DH15" i="9"/>
  <c r="DI15" i="9"/>
  <c r="DJ15" i="9"/>
  <c r="DK15" i="9"/>
  <c r="DL15" i="9"/>
  <c r="DM15" i="9"/>
  <c r="DN15" i="9"/>
  <c r="DO15" i="9"/>
  <c r="DP15" i="9"/>
  <c r="DQ15" i="9"/>
  <c r="DR15" i="9"/>
  <c r="DS15" i="9"/>
  <c r="DT15" i="9"/>
  <c r="DU15" i="9"/>
  <c r="DV15" i="9"/>
  <c r="DW15" i="9"/>
  <c r="DX15" i="9"/>
  <c r="A16" i="9"/>
  <c r="CI16" i="9"/>
  <c r="CJ16" i="9"/>
  <c r="CK16" i="9"/>
  <c r="CL16" i="9"/>
  <c r="CM16" i="9"/>
  <c r="CN16" i="9"/>
  <c r="CO16" i="9"/>
  <c r="CP16" i="9"/>
  <c r="CQ16" i="9"/>
  <c r="CR16" i="9"/>
  <c r="CS16" i="9"/>
  <c r="CT16" i="9"/>
  <c r="CU16" i="9"/>
  <c r="CV16" i="9"/>
  <c r="CW16" i="9"/>
  <c r="CX16" i="9"/>
  <c r="CY16" i="9"/>
  <c r="CZ16" i="9"/>
  <c r="DA16" i="9"/>
  <c r="DB16" i="9"/>
  <c r="DC16" i="9"/>
  <c r="DD16" i="9"/>
  <c r="DE16" i="9"/>
  <c r="DF16" i="9"/>
  <c r="DG16" i="9"/>
  <c r="DH16" i="9"/>
  <c r="DI16" i="9"/>
  <c r="DJ16" i="9"/>
  <c r="DK16" i="9"/>
  <c r="DL16" i="9"/>
  <c r="DM16" i="9"/>
  <c r="DN16" i="9"/>
  <c r="DO16" i="9"/>
  <c r="DP16" i="9"/>
  <c r="DQ16" i="9"/>
  <c r="DR16" i="9"/>
  <c r="DS16" i="9"/>
  <c r="DT16" i="9"/>
  <c r="DU16" i="9"/>
  <c r="DV16" i="9"/>
  <c r="DW16" i="9"/>
  <c r="DX16" i="9"/>
  <c r="BP17" i="9"/>
  <c r="CI17" i="9"/>
  <c r="CJ17" i="9"/>
  <c r="CK17" i="9"/>
  <c r="CL17" i="9"/>
  <c r="CM17" i="9"/>
  <c r="CN17" i="9"/>
  <c r="CO17" i="9"/>
  <c r="CP17" i="9"/>
  <c r="CQ17" i="9"/>
  <c r="CR17" i="9"/>
  <c r="CS17" i="9"/>
  <c r="CT17" i="9"/>
  <c r="CU17" i="9"/>
  <c r="CV17" i="9"/>
  <c r="CW17" i="9"/>
  <c r="CX17" i="9"/>
  <c r="CY17" i="9"/>
  <c r="CZ17" i="9"/>
  <c r="DA17" i="9"/>
  <c r="DB17" i="9"/>
  <c r="DC17" i="9"/>
  <c r="DD17" i="9"/>
  <c r="DE17" i="9"/>
  <c r="DF17" i="9"/>
  <c r="DG17" i="9"/>
  <c r="DH17" i="9"/>
  <c r="DI17" i="9"/>
  <c r="DJ17" i="9"/>
  <c r="DK17" i="9"/>
  <c r="DL17" i="9"/>
  <c r="DM17" i="9"/>
  <c r="DN17" i="9"/>
  <c r="DO17" i="9"/>
  <c r="DP17" i="9"/>
  <c r="DQ17" i="9"/>
  <c r="DR17" i="9"/>
  <c r="DS17" i="9"/>
  <c r="DT17" i="9"/>
  <c r="DU17" i="9"/>
  <c r="DV17" i="9"/>
  <c r="DW17" i="9"/>
  <c r="DX17" i="9"/>
  <c r="BL18" i="9"/>
  <c r="CI18" i="9"/>
  <c r="CJ18" i="9"/>
  <c r="CK18" i="9"/>
  <c r="CL18" i="9"/>
  <c r="CM18" i="9"/>
  <c r="CN18" i="9"/>
  <c r="CO18" i="9"/>
  <c r="CP18" i="9"/>
  <c r="CQ18" i="9"/>
  <c r="CR18" i="9"/>
  <c r="CS18" i="9"/>
  <c r="CT18" i="9"/>
  <c r="CU18" i="9"/>
  <c r="CV18" i="9"/>
  <c r="CW18" i="9"/>
  <c r="CX18" i="9"/>
  <c r="CY18" i="9"/>
  <c r="CZ18" i="9"/>
  <c r="DA18" i="9"/>
  <c r="DB18" i="9"/>
  <c r="DC18" i="9"/>
  <c r="DD18" i="9"/>
  <c r="DE18" i="9"/>
  <c r="DF18" i="9"/>
  <c r="DG18" i="9"/>
  <c r="DH18" i="9"/>
  <c r="DI18" i="9"/>
  <c r="DJ18" i="9"/>
  <c r="DK18" i="9"/>
  <c r="DL18" i="9"/>
  <c r="DM18" i="9"/>
  <c r="DN18" i="9"/>
  <c r="DO18" i="9"/>
  <c r="DP18" i="9"/>
  <c r="DQ18" i="9"/>
  <c r="DR18" i="9"/>
  <c r="DS18" i="9"/>
  <c r="DT18" i="9"/>
  <c r="DU18" i="9"/>
  <c r="DV18" i="9"/>
  <c r="DW18" i="9"/>
  <c r="DX18" i="9"/>
  <c r="Q19" i="9"/>
  <c r="CI19" i="9"/>
  <c r="CJ19" i="9"/>
  <c r="CK19" i="9"/>
  <c r="CL19" i="9"/>
  <c r="CM19" i="9"/>
  <c r="CN19" i="9"/>
  <c r="CO19" i="9"/>
  <c r="CP19" i="9"/>
  <c r="CQ19" i="9"/>
  <c r="CR19" i="9"/>
  <c r="CS19" i="9"/>
  <c r="CT19" i="9"/>
  <c r="CU19" i="9"/>
  <c r="CV19" i="9"/>
  <c r="CW19" i="9"/>
  <c r="CX19" i="9"/>
  <c r="CY19" i="9"/>
  <c r="CZ19" i="9"/>
  <c r="DA19" i="9"/>
  <c r="DB19" i="9"/>
  <c r="DC19" i="9"/>
  <c r="DD19" i="9"/>
  <c r="DE19" i="9"/>
  <c r="DF19" i="9"/>
  <c r="DG19" i="9"/>
  <c r="DH19" i="9"/>
  <c r="DI19" i="9"/>
  <c r="DJ19" i="9"/>
  <c r="DK19" i="9"/>
  <c r="DL19" i="9"/>
  <c r="DM19" i="9"/>
  <c r="DN19" i="9"/>
  <c r="DO19" i="9"/>
  <c r="DP19" i="9"/>
  <c r="DQ19" i="9"/>
  <c r="DR19" i="9"/>
  <c r="DS19" i="9"/>
  <c r="DT19" i="9"/>
  <c r="DU19" i="9"/>
  <c r="DV19" i="9"/>
  <c r="DW19" i="9"/>
  <c r="DX19" i="9"/>
  <c r="BE20" i="9"/>
  <c r="CI20" i="9"/>
  <c r="CJ20" i="9"/>
  <c r="CK20" i="9"/>
  <c r="CL20" i="9"/>
  <c r="CM20" i="9"/>
  <c r="CN20" i="9"/>
  <c r="CO20" i="9"/>
  <c r="CP20" i="9"/>
  <c r="CQ20" i="9"/>
  <c r="CR20" i="9"/>
  <c r="CS20" i="9"/>
  <c r="CT20" i="9"/>
  <c r="CU20" i="9"/>
  <c r="CV20" i="9"/>
  <c r="CW20" i="9"/>
  <c r="CX20" i="9"/>
  <c r="CY20" i="9"/>
  <c r="CZ20" i="9"/>
  <c r="DA20" i="9"/>
  <c r="DB20" i="9"/>
  <c r="DC20" i="9"/>
  <c r="DD20" i="9"/>
  <c r="DE20" i="9"/>
  <c r="DF20" i="9"/>
  <c r="DG20" i="9"/>
  <c r="DH20" i="9"/>
  <c r="DI20" i="9"/>
  <c r="DJ20" i="9"/>
  <c r="DK20" i="9"/>
  <c r="DL20" i="9"/>
  <c r="DM20" i="9"/>
  <c r="DN20" i="9"/>
  <c r="DO20" i="9"/>
  <c r="DP20" i="9"/>
  <c r="DQ20" i="9"/>
  <c r="DR20" i="9"/>
  <c r="DS20" i="9"/>
  <c r="DT20" i="9"/>
  <c r="DU20" i="9"/>
  <c r="DV20" i="9"/>
  <c r="DW20" i="9"/>
  <c r="DX20" i="9"/>
  <c r="G21" i="9"/>
  <c r="CI21" i="9"/>
  <c r="CJ21" i="9"/>
  <c r="CK21" i="9"/>
  <c r="CL21" i="9"/>
  <c r="CM21" i="9"/>
  <c r="CN21" i="9"/>
  <c r="CO21" i="9"/>
  <c r="CP21" i="9"/>
  <c r="CQ21" i="9"/>
  <c r="CR21" i="9"/>
  <c r="CS21" i="9"/>
  <c r="CT21" i="9"/>
  <c r="CU21" i="9"/>
  <c r="CV21" i="9"/>
  <c r="CW21" i="9"/>
  <c r="CX21" i="9"/>
  <c r="CY21" i="9"/>
  <c r="CZ21" i="9"/>
  <c r="DA21" i="9"/>
  <c r="DB21" i="9"/>
  <c r="DC21" i="9"/>
  <c r="DD21" i="9"/>
  <c r="DE21" i="9"/>
  <c r="DF21" i="9"/>
  <c r="DG21" i="9"/>
  <c r="DH21" i="9"/>
  <c r="DI21" i="9"/>
  <c r="DJ21" i="9"/>
  <c r="DK21" i="9"/>
  <c r="DL21" i="9"/>
  <c r="DM21" i="9"/>
  <c r="DN21" i="9"/>
  <c r="DO21" i="9"/>
  <c r="DP21" i="9"/>
  <c r="DQ21" i="9"/>
  <c r="DR21" i="9"/>
  <c r="DS21" i="9"/>
  <c r="DT21" i="9"/>
  <c r="DU21" i="9"/>
  <c r="DV21" i="9"/>
  <c r="DW21" i="9"/>
  <c r="DX21" i="9"/>
  <c r="BK22" i="9"/>
  <c r="CI22" i="9"/>
  <c r="CJ22" i="9"/>
  <c r="CK22" i="9"/>
  <c r="CL22" i="9"/>
  <c r="CM22" i="9"/>
  <c r="CN22" i="9"/>
  <c r="CO22" i="9"/>
  <c r="CP22" i="9"/>
  <c r="CQ22" i="9"/>
  <c r="CR22" i="9"/>
  <c r="CS22" i="9"/>
  <c r="CT22" i="9"/>
  <c r="CU22" i="9"/>
  <c r="CV22" i="9"/>
  <c r="CW22" i="9"/>
  <c r="CX22" i="9"/>
  <c r="CY22" i="9"/>
  <c r="CZ22" i="9"/>
  <c r="DA22" i="9"/>
  <c r="DB22" i="9"/>
  <c r="DC22" i="9"/>
  <c r="DD22" i="9"/>
  <c r="DE22" i="9"/>
  <c r="DF22" i="9"/>
  <c r="DG22" i="9"/>
  <c r="DH22" i="9"/>
  <c r="DI22" i="9"/>
  <c r="DJ22" i="9"/>
  <c r="DK22" i="9"/>
  <c r="DL22" i="9"/>
  <c r="DM22" i="9"/>
  <c r="DN22" i="9"/>
  <c r="DO22" i="9"/>
  <c r="DP22" i="9"/>
  <c r="DQ22" i="9"/>
  <c r="DR22" i="9"/>
  <c r="DS22" i="9"/>
  <c r="DT22" i="9"/>
  <c r="DU22" i="9"/>
  <c r="DV22" i="9"/>
  <c r="DW22" i="9"/>
  <c r="DX22" i="9"/>
  <c r="A23" i="9"/>
  <c r="CI23" i="9"/>
  <c r="CJ23" i="9"/>
  <c r="CK23" i="9"/>
  <c r="CL23" i="9"/>
  <c r="CM23" i="9"/>
  <c r="CN23" i="9"/>
  <c r="CO23" i="9"/>
  <c r="CP23" i="9"/>
  <c r="CQ23" i="9"/>
  <c r="CR23" i="9"/>
  <c r="CS23" i="9"/>
  <c r="CT23" i="9"/>
  <c r="CU23" i="9"/>
  <c r="CV23" i="9"/>
  <c r="CW23" i="9"/>
  <c r="CX23" i="9"/>
  <c r="CY23" i="9"/>
  <c r="CZ23" i="9"/>
  <c r="DA23" i="9"/>
  <c r="DB23" i="9"/>
  <c r="DC23" i="9"/>
  <c r="DD23" i="9"/>
  <c r="DE23" i="9"/>
  <c r="DF23" i="9"/>
  <c r="DG23" i="9"/>
  <c r="DH23" i="9"/>
  <c r="DI23" i="9"/>
  <c r="DJ23" i="9"/>
  <c r="DK23" i="9"/>
  <c r="DL23" i="9"/>
  <c r="DM23" i="9"/>
  <c r="DN23" i="9"/>
  <c r="DO23" i="9"/>
  <c r="DP23" i="9"/>
  <c r="DQ23" i="9"/>
  <c r="DR23" i="9"/>
  <c r="DS23" i="9"/>
  <c r="DT23" i="9"/>
  <c r="DU23" i="9"/>
  <c r="DV23" i="9"/>
  <c r="DW23" i="9"/>
  <c r="DX23" i="9"/>
  <c r="Q24" i="9"/>
  <c r="CI24" i="9"/>
  <c r="CJ24" i="9"/>
  <c r="CK24" i="9"/>
  <c r="CL24" i="9"/>
  <c r="CM24" i="9"/>
  <c r="CN24" i="9"/>
  <c r="CO24" i="9"/>
  <c r="CP24" i="9"/>
  <c r="CQ24" i="9"/>
  <c r="CR24" i="9"/>
  <c r="CS24" i="9"/>
  <c r="CT24" i="9"/>
  <c r="CU24" i="9"/>
  <c r="CV24" i="9"/>
  <c r="CW24" i="9"/>
  <c r="CX24" i="9"/>
  <c r="CY24" i="9"/>
  <c r="CZ24" i="9"/>
  <c r="DA24" i="9"/>
  <c r="DB24" i="9"/>
  <c r="DC24" i="9"/>
  <c r="DD24" i="9"/>
  <c r="DE24" i="9"/>
  <c r="DF24" i="9"/>
  <c r="DG24" i="9"/>
  <c r="DH24" i="9"/>
  <c r="DI24" i="9"/>
  <c r="DJ24" i="9"/>
  <c r="DK24" i="9"/>
  <c r="DL24" i="9"/>
  <c r="DM24" i="9"/>
  <c r="DN24" i="9"/>
  <c r="DO24" i="9"/>
  <c r="DP24" i="9"/>
  <c r="DQ24" i="9"/>
  <c r="DR24" i="9"/>
  <c r="DS24" i="9"/>
  <c r="DT24" i="9"/>
  <c r="DU24" i="9"/>
  <c r="DV24" i="9"/>
  <c r="DW24" i="9"/>
  <c r="DX24" i="9"/>
  <c r="P25" i="9"/>
  <c r="CJ25" i="9"/>
  <c r="CK25" i="9"/>
  <c r="CL25" i="9"/>
  <c r="CM25" i="9"/>
  <c r="CN25" i="9"/>
  <c r="CO25" i="9"/>
  <c r="CP25" i="9"/>
  <c r="CQ25" i="9"/>
  <c r="CR25" i="9"/>
  <c r="CS25" i="9"/>
  <c r="CT25" i="9"/>
  <c r="CU25" i="9"/>
  <c r="CV25" i="9"/>
  <c r="CW25" i="9"/>
  <c r="CX25" i="9"/>
  <c r="CY25" i="9"/>
  <c r="CZ25" i="9"/>
  <c r="DA25" i="9"/>
  <c r="DB25" i="9"/>
  <c r="DC25" i="9"/>
  <c r="DD25" i="9"/>
  <c r="DE25" i="9"/>
  <c r="DF25" i="9"/>
  <c r="DG25" i="9"/>
  <c r="DH25" i="9"/>
  <c r="DI25" i="9"/>
  <c r="DJ25" i="9"/>
  <c r="DK25" i="9"/>
  <c r="DL25" i="9"/>
  <c r="DM25" i="9"/>
  <c r="DN25" i="9"/>
  <c r="DO25" i="9"/>
  <c r="DP25" i="9"/>
  <c r="DQ25" i="9"/>
  <c r="DR25" i="9"/>
  <c r="DS25" i="9"/>
  <c r="DT25" i="9"/>
  <c r="DU25" i="9"/>
  <c r="DV25" i="9"/>
  <c r="DW25" i="9"/>
  <c r="DX25" i="9"/>
  <c r="CI25" i="9"/>
  <c r="N27" i="9"/>
  <c r="CI27" i="9"/>
  <c r="CJ27" i="9"/>
  <c r="CK27" i="9"/>
  <c r="CL27" i="9"/>
  <c r="CM27" i="9"/>
  <c r="CN27" i="9"/>
  <c r="CO27" i="9"/>
  <c r="CP27" i="9"/>
  <c r="CQ27" i="9"/>
  <c r="CR27" i="9"/>
  <c r="CS27" i="9"/>
  <c r="CT27" i="9"/>
  <c r="CU27" i="9"/>
  <c r="CV27" i="9"/>
  <c r="CW27" i="9"/>
  <c r="CX27" i="9"/>
  <c r="CY27" i="9"/>
  <c r="CZ27" i="9"/>
  <c r="DA27" i="9"/>
  <c r="DB27" i="9"/>
  <c r="DC27" i="9"/>
  <c r="DD27" i="9"/>
  <c r="DE27" i="9"/>
  <c r="DF27" i="9"/>
  <c r="DG27" i="9"/>
  <c r="DH27" i="9"/>
  <c r="DI27" i="9"/>
  <c r="DJ27" i="9"/>
  <c r="DK27" i="9"/>
  <c r="DL27" i="9"/>
  <c r="DM27" i="9"/>
  <c r="DN27" i="9"/>
  <c r="DO27" i="9"/>
  <c r="DP27" i="9"/>
  <c r="DQ27" i="9"/>
  <c r="DR27" i="9"/>
  <c r="DS27" i="9"/>
  <c r="DT27" i="9"/>
  <c r="DU27" i="9"/>
  <c r="DV27" i="9"/>
  <c r="DW27" i="9"/>
  <c r="DX27" i="9"/>
  <c r="BV28" i="9"/>
  <c r="CI28" i="9"/>
  <c r="CJ28" i="9"/>
  <c r="CK28" i="9"/>
  <c r="CL28" i="9"/>
  <c r="CM28" i="9"/>
  <c r="CN28" i="9"/>
  <c r="CO28" i="9"/>
  <c r="CP28" i="9"/>
  <c r="CQ28" i="9"/>
  <c r="CR28" i="9"/>
  <c r="CS28" i="9"/>
  <c r="CT28" i="9"/>
  <c r="CU28" i="9"/>
  <c r="CV28" i="9"/>
  <c r="CW28" i="9"/>
  <c r="CX28" i="9"/>
  <c r="CY28" i="9"/>
  <c r="CZ28" i="9"/>
  <c r="DA28" i="9"/>
  <c r="DB28" i="9"/>
  <c r="DC28" i="9"/>
  <c r="DD28" i="9"/>
  <c r="DE28" i="9"/>
  <c r="DF28" i="9"/>
  <c r="DG28" i="9"/>
  <c r="DH28" i="9"/>
  <c r="DI28" i="9"/>
  <c r="DJ28" i="9"/>
  <c r="DK28" i="9"/>
  <c r="DL28" i="9"/>
  <c r="DM28" i="9"/>
  <c r="DN28" i="9"/>
  <c r="DO28" i="9"/>
  <c r="DP28" i="9"/>
  <c r="DQ28" i="9"/>
  <c r="DR28" i="9"/>
  <c r="DS28" i="9"/>
  <c r="DT28" i="9"/>
  <c r="DU28" i="9"/>
  <c r="DV28" i="9"/>
  <c r="DW28" i="9"/>
  <c r="DX28" i="9"/>
  <c r="BE29" i="9"/>
  <c r="CI29" i="9"/>
  <c r="CJ29" i="9"/>
  <c r="CK29" i="9"/>
  <c r="CL29" i="9"/>
  <c r="CM29" i="9"/>
  <c r="CN29" i="9"/>
  <c r="CO29" i="9"/>
  <c r="CP29" i="9"/>
  <c r="CQ29" i="9"/>
  <c r="CR29" i="9"/>
  <c r="CS29" i="9"/>
  <c r="CT29" i="9"/>
  <c r="CU29" i="9"/>
  <c r="CV29" i="9"/>
  <c r="CW29" i="9"/>
  <c r="CX29" i="9"/>
  <c r="CY29" i="9"/>
  <c r="CZ29" i="9"/>
  <c r="DA29" i="9"/>
  <c r="DB29" i="9"/>
  <c r="DC29" i="9"/>
  <c r="DD29" i="9"/>
  <c r="DE29" i="9"/>
  <c r="DF29" i="9"/>
  <c r="DG29" i="9"/>
  <c r="DH29" i="9"/>
  <c r="DI29" i="9"/>
  <c r="DJ29" i="9"/>
  <c r="DK29" i="9"/>
  <c r="DL29" i="9"/>
  <c r="DM29" i="9"/>
  <c r="DN29" i="9"/>
  <c r="DO29" i="9"/>
  <c r="DP29" i="9"/>
  <c r="DQ29" i="9"/>
  <c r="DR29" i="9"/>
  <c r="DS29" i="9"/>
  <c r="DT29" i="9"/>
  <c r="DU29" i="9"/>
  <c r="DV29" i="9"/>
  <c r="DW29" i="9"/>
  <c r="DX29" i="9"/>
  <c r="BS30" i="9"/>
  <c r="CI30" i="9"/>
  <c r="CJ30" i="9"/>
  <c r="CK30" i="9"/>
  <c r="CL30" i="9"/>
  <c r="CM30" i="9"/>
  <c r="CN30" i="9"/>
  <c r="CO30" i="9"/>
  <c r="CP30" i="9"/>
  <c r="CQ30" i="9"/>
  <c r="CR30" i="9"/>
  <c r="CS30" i="9"/>
  <c r="CT30" i="9"/>
  <c r="CU30" i="9"/>
  <c r="CV30" i="9"/>
  <c r="CW30" i="9"/>
  <c r="CX30" i="9"/>
  <c r="CY30" i="9"/>
  <c r="CZ30" i="9"/>
  <c r="DA30" i="9"/>
  <c r="DB30" i="9"/>
  <c r="DC30" i="9"/>
  <c r="DD30" i="9"/>
  <c r="DE30" i="9"/>
  <c r="DF30" i="9"/>
  <c r="DG30" i="9"/>
  <c r="DH30" i="9"/>
  <c r="DI30" i="9"/>
  <c r="DJ30" i="9"/>
  <c r="DK30" i="9"/>
  <c r="DL30" i="9"/>
  <c r="DM30" i="9"/>
  <c r="DN30" i="9"/>
  <c r="DO30" i="9"/>
  <c r="DP30" i="9"/>
  <c r="DQ30" i="9"/>
  <c r="DR30" i="9"/>
  <c r="DS30" i="9"/>
  <c r="DT30" i="9"/>
  <c r="DU30" i="9"/>
  <c r="DV30" i="9"/>
  <c r="DW30" i="9"/>
  <c r="DX30" i="9"/>
  <c r="BT31" i="9"/>
  <c r="CI31" i="9"/>
  <c r="CJ31" i="9"/>
  <c r="CK31" i="9"/>
  <c r="CL31" i="9"/>
  <c r="CM31" i="9"/>
  <c r="CN31" i="9"/>
  <c r="CO31" i="9"/>
  <c r="CP31" i="9"/>
  <c r="CQ31" i="9"/>
  <c r="CR31" i="9"/>
  <c r="CS31" i="9"/>
  <c r="CT31" i="9"/>
  <c r="CU31" i="9"/>
  <c r="CV31" i="9"/>
  <c r="CW31" i="9"/>
  <c r="CX31" i="9"/>
  <c r="CY31" i="9"/>
  <c r="CZ31" i="9"/>
  <c r="DA31" i="9"/>
  <c r="DB31" i="9"/>
  <c r="DC31" i="9"/>
  <c r="DD31" i="9"/>
  <c r="DE31" i="9"/>
  <c r="DF31" i="9"/>
  <c r="DG31" i="9"/>
  <c r="DH31" i="9"/>
  <c r="DI31" i="9"/>
  <c r="DJ31" i="9"/>
  <c r="DK31" i="9"/>
  <c r="DL31" i="9"/>
  <c r="DM31" i="9"/>
  <c r="DN31" i="9"/>
  <c r="DO31" i="9"/>
  <c r="DP31" i="9"/>
  <c r="DQ31" i="9"/>
  <c r="DR31" i="9"/>
  <c r="DS31" i="9"/>
  <c r="DT31" i="9"/>
  <c r="DU31" i="9"/>
  <c r="DV31" i="9"/>
  <c r="DW31" i="9"/>
  <c r="DX31" i="9"/>
  <c r="Q32" i="9"/>
  <c r="CI32" i="9"/>
  <c r="CJ32" i="9"/>
  <c r="CK32" i="9"/>
  <c r="CL32" i="9"/>
  <c r="CM32" i="9"/>
  <c r="CN32" i="9"/>
  <c r="CO32" i="9"/>
  <c r="CP32" i="9"/>
  <c r="CQ32" i="9"/>
  <c r="CR32" i="9"/>
  <c r="CS32" i="9"/>
  <c r="CT32" i="9"/>
  <c r="CU32" i="9"/>
  <c r="CV32" i="9"/>
  <c r="CW32" i="9"/>
  <c r="CX32" i="9"/>
  <c r="CY32" i="9"/>
  <c r="CZ32" i="9"/>
  <c r="DA32" i="9"/>
  <c r="DB32" i="9"/>
  <c r="DC32" i="9"/>
  <c r="DD32" i="9"/>
  <c r="DE32" i="9"/>
  <c r="DF32" i="9"/>
  <c r="DG32" i="9"/>
  <c r="DH32" i="9"/>
  <c r="DI32" i="9"/>
  <c r="DJ32" i="9"/>
  <c r="DK32" i="9"/>
  <c r="DL32" i="9"/>
  <c r="DM32" i="9"/>
  <c r="DN32" i="9"/>
  <c r="DO32" i="9"/>
  <c r="DP32" i="9"/>
  <c r="DQ32" i="9"/>
  <c r="DR32" i="9"/>
  <c r="DS32" i="9"/>
  <c r="DT32" i="9"/>
  <c r="DU32" i="9"/>
  <c r="DV32" i="9"/>
  <c r="DW32" i="9"/>
  <c r="DX32" i="9"/>
  <c r="O33" i="9"/>
  <c r="CJ33" i="9"/>
  <c r="CK33" i="9"/>
  <c r="CL33" i="9"/>
  <c r="CM33" i="9"/>
  <c r="CN33" i="9"/>
  <c r="CO33" i="9"/>
  <c r="CP33" i="9"/>
  <c r="CQ33" i="9"/>
  <c r="CR33" i="9"/>
  <c r="CS33" i="9"/>
  <c r="CT33" i="9"/>
  <c r="CU33" i="9"/>
  <c r="CV33" i="9"/>
  <c r="CW33" i="9"/>
  <c r="CX33" i="9"/>
  <c r="CY33" i="9"/>
  <c r="CZ33" i="9"/>
  <c r="DA33" i="9"/>
  <c r="DB33" i="9"/>
  <c r="DC33" i="9"/>
  <c r="DD33" i="9"/>
  <c r="DE33" i="9"/>
  <c r="DF33" i="9"/>
  <c r="DG33" i="9"/>
  <c r="DH33" i="9"/>
  <c r="DI33" i="9"/>
  <c r="DJ33" i="9"/>
  <c r="DK33" i="9"/>
  <c r="DL33" i="9"/>
  <c r="DM33" i="9"/>
  <c r="DN33" i="9"/>
  <c r="DO33" i="9"/>
  <c r="DP33" i="9"/>
  <c r="DQ33" i="9"/>
  <c r="DR33" i="9"/>
  <c r="DS33" i="9"/>
  <c r="DT33" i="9"/>
  <c r="DU33" i="9"/>
  <c r="DV33" i="9"/>
  <c r="DW33" i="9"/>
  <c r="DX33" i="9"/>
  <c r="CI33" i="9"/>
  <c r="S34" i="9"/>
  <c r="CI34" i="9"/>
  <c r="CJ34" i="9"/>
  <c r="CK34" i="9"/>
  <c r="CL34" i="9"/>
  <c r="CM34" i="9"/>
  <c r="CN34" i="9"/>
  <c r="CO34" i="9"/>
  <c r="CP34" i="9"/>
  <c r="CQ34" i="9"/>
  <c r="CR34" i="9"/>
  <c r="CS34" i="9"/>
  <c r="CT34" i="9"/>
  <c r="CU34" i="9"/>
  <c r="CV34" i="9"/>
  <c r="CW34" i="9"/>
  <c r="CX34" i="9"/>
  <c r="CY34" i="9"/>
  <c r="CZ34" i="9"/>
  <c r="DA34" i="9"/>
  <c r="DB34" i="9"/>
  <c r="DC34" i="9"/>
  <c r="DD34" i="9"/>
  <c r="DE34" i="9"/>
  <c r="DF34" i="9"/>
  <c r="DG34" i="9"/>
  <c r="DH34" i="9"/>
  <c r="DI34" i="9"/>
  <c r="DJ34" i="9"/>
  <c r="DK34" i="9"/>
  <c r="DL34" i="9"/>
  <c r="DM34" i="9"/>
  <c r="DN34" i="9"/>
  <c r="DO34" i="9"/>
  <c r="DP34" i="9"/>
  <c r="DQ34" i="9"/>
  <c r="DR34" i="9"/>
  <c r="DS34" i="9"/>
  <c r="DT34" i="9"/>
  <c r="DU34" i="9"/>
  <c r="DV34" i="9"/>
  <c r="DW34" i="9"/>
  <c r="DX34" i="9"/>
  <c r="P35" i="9"/>
  <c r="CI35" i="9"/>
  <c r="CJ35" i="9"/>
  <c r="CK35" i="9"/>
  <c r="CL35" i="9"/>
  <c r="CM35" i="9"/>
  <c r="CN35" i="9"/>
  <c r="CO35" i="9"/>
  <c r="CP35" i="9"/>
  <c r="CQ35" i="9"/>
  <c r="CR35" i="9"/>
  <c r="CS35" i="9"/>
  <c r="CT35" i="9"/>
  <c r="CU35" i="9"/>
  <c r="CV35" i="9"/>
  <c r="CW35" i="9"/>
  <c r="CX35" i="9"/>
  <c r="CY35" i="9"/>
  <c r="CZ35" i="9"/>
  <c r="DA35" i="9"/>
  <c r="DB35" i="9"/>
  <c r="DC35" i="9"/>
  <c r="DD35" i="9"/>
  <c r="DE35" i="9"/>
  <c r="DF35" i="9"/>
  <c r="DG35" i="9"/>
  <c r="DH35" i="9"/>
  <c r="DI35" i="9"/>
  <c r="DJ35" i="9"/>
  <c r="DK35" i="9"/>
  <c r="DL35" i="9"/>
  <c r="DM35" i="9"/>
  <c r="DN35" i="9"/>
  <c r="DO35" i="9"/>
  <c r="DP35" i="9"/>
  <c r="DQ35" i="9"/>
  <c r="DR35" i="9"/>
  <c r="DS35" i="9"/>
  <c r="DT35" i="9"/>
  <c r="DU35" i="9"/>
  <c r="DV35" i="9"/>
  <c r="DW35" i="9"/>
  <c r="DX35" i="9"/>
  <c r="S36" i="9"/>
  <c r="CI36" i="9"/>
  <c r="CJ36" i="9"/>
  <c r="CK36" i="9"/>
  <c r="CL36" i="9"/>
  <c r="CM36" i="9"/>
  <c r="CN36" i="9"/>
  <c r="CO36" i="9"/>
  <c r="CP36" i="9"/>
  <c r="CQ36" i="9"/>
  <c r="CR36" i="9"/>
  <c r="CS36" i="9"/>
  <c r="CT36" i="9"/>
  <c r="CU36" i="9"/>
  <c r="CV36" i="9"/>
  <c r="CW36" i="9"/>
  <c r="CX36" i="9"/>
  <c r="CY36" i="9"/>
  <c r="CZ36" i="9"/>
  <c r="DA36" i="9"/>
  <c r="DB36" i="9"/>
  <c r="DC36" i="9"/>
  <c r="DD36" i="9"/>
  <c r="DE36" i="9"/>
  <c r="DF36" i="9"/>
  <c r="DG36" i="9"/>
  <c r="DH36" i="9"/>
  <c r="DI36" i="9"/>
  <c r="DJ36" i="9"/>
  <c r="DK36" i="9"/>
  <c r="DL36" i="9"/>
  <c r="DM36" i="9"/>
  <c r="DN36" i="9"/>
  <c r="DO36" i="9"/>
  <c r="DP36" i="9"/>
  <c r="DQ36" i="9"/>
  <c r="DR36" i="9"/>
  <c r="DS36" i="9"/>
  <c r="DT36" i="9"/>
  <c r="DU36" i="9"/>
  <c r="DV36" i="9"/>
  <c r="DW36" i="9"/>
  <c r="DX36" i="9"/>
  <c r="S37" i="9"/>
  <c r="DN37" i="2" s="1"/>
  <c r="CI37" i="9"/>
  <c r="CJ37" i="9"/>
  <c r="CK37" i="9"/>
  <c r="CL37" i="9"/>
  <c r="CM37" i="9"/>
  <c r="CN37" i="9"/>
  <c r="CO37" i="9"/>
  <c r="CP37" i="9"/>
  <c r="CQ37" i="9"/>
  <c r="CR37" i="9"/>
  <c r="CS37" i="9"/>
  <c r="CT37" i="9"/>
  <c r="CU37" i="9"/>
  <c r="CV37" i="9"/>
  <c r="CW37" i="9"/>
  <c r="CX37" i="9"/>
  <c r="CY37" i="9"/>
  <c r="CZ37" i="9"/>
  <c r="DA37" i="9"/>
  <c r="DB37" i="9"/>
  <c r="DC37" i="9"/>
  <c r="DD37" i="9"/>
  <c r="DE37" i="9"/>
  <c r="DF37" i="9"/>
  <c r="DG37" i="9"/>
  <c r="DH37" i="9"/>
  <c r="DI37" i="9"/>
  <c r="DJ37" i="9"/>
  <c r="DK37" i="9"/>
  <c r="DL37" i="9"/>
  <c r="DM37" i="9"/>
  <c r="DN37" i="9"/>
  <c r="DO37" i="9"/>
  <c r="DP37" i="9"/>
  <c r="DQ37" i="9"/>
  <c r="DR37" i="9"/>
  <c r="DS37" i="9"/>
  <c r="DT37" i="9"/>
  <c r="DU37" i="9"/>
  <c r="DV37" i="9"/>
  <c r="DW37" i="9"/>
  <c r="DX37" i="9"/>
  <c r="BZ38" i="9"/>
  <c r="CI38" i="9"/>
  <c r="CJ38" i="9"/>
  <c r="CK38" i="9"/>
  <c r="CL38" i="9"/>
  <c r="CM38" i="9"/>
  <c r="CN38" i="9"/>
  <c r="CO38" i="9"/>
  <c r="CP38" i="9"/>
  <c r="CQ38" i="9"/>
  <c r="CR38" i="9"/>
  <c r="CS38" i="9"/>
  <c r="CT38" i="9"/>
  <c r="CU38" i="9"/>
  <c r="CV38" i="9"/>
  <c r="CW38" i="9"/>
  <c r="CX38" i="9"/>
  <c r="CY38" i="9"/>
  <c r="CZ38" i="9"/>
  <c r="DA38" i="9"/>
  <c r="DB38" i="9"/>
  <c r="DC38" i="9"/>
  <c r="DD38" i="9"/>
  <c r="DE38" i="9"/>
  <c r="DF38" i="9"/>
  <c r="DG38" i="9"/>
  <c r="DH38" i="9"/>
  <c r="DI38" i="9"/>
  <c r="DJ38" i="9"/>
  <c r="DK38" i="9"/>
  <c r="DL38" i="9"/>
  <c r="DM38" i="9"/>
  <c r="DN38" i="9"/>
  <c r="DO38" i="9"/>
  <c r="DP38" i="9"/>
  <c r="DQ38" i="9"/>
  <c r="DR38" i="9"/>
  <c r="DS38" i="9"/>
  <c r="DT38" i="9"/>
  <c r="DU38" i="9"/>
  <c r="DV38" i="9"/>
  <c r="DW38" i="9"/>
  <c r="DX38" i="9"/>
  <c r="CC39" i="9"/>
  <c r="CI39" i="9"/>
  <c r="CJ39" i="9"/>
  <c r="CK39" i="9"/>
  <c r="CL39" i="9"/>
  <c r="CM39" i="9"/>
  <c r="CN39" i="9"/>
  <c r="CO39" i="9"/>
  <c r="CP39" i="9"/>
  <c r="CQ39" i="9"/>
  <c r="CR39" i="9"/>
  <c r="CS39" i="9"/>
  <c r="CT39" i="9"/>
  <c r="CU39" i="9"/>
  <c r="CV39" i="9"/>
  <c r="CW39" i="9"/>
  <c r="CX39" i="9"/>
  <c r="CY39" i="9"/>
  <c r="CZ39" i="9"/>
  <c r="DA39" i="9"/>
  <c r="DB39" i="9"/>
  <c r="DC39" i="9"/>
  <c r="DD39" i="9"/>
  <c r="DE39" i="9"/>
  <c r="DF39" i="9"/>
  <c r="DG39" i="9"/>
  <c r="DH39" i="9"/>
  <c r="DI39" i="9"/>
  <c r="DJ39" i="9"/>
  <c r="DK39" i="9"/>
  <c r="DL39" i="9"/>
  <c r="DM39" i="9"/>
  <c r="DN39" i="9"/>
  <c r="DO39" i="9"/>
  <c r="DP39" i="9"/>
  <c r="DQ39" i="9"/>
  <c r="DR39" i="9"/>
  <c r="DS39" i="9"/>
  <c r="DT39" i="9"/>
  <c r="DU39" i="9"/>
  <c r="DV39" i="9"/>
  <c r="DW39" i="9"/>
  <c r="DX39" i="9"/>
  <c r="BM40" i="9"/>
  <c r="CI40" i="9"/>
  <c r="CJ40" i="9"/>
  <c r="CK40" i="9"/>
  <c r="CL40" i="9"/>
  <c r="CM40" i="9"/>
  <c r="CN40" i="9"/>
  <c r="CO40" i="9"/>
  <c r="CP40" i="9"/>
  <c r="CQ40" i="9"/>
  <c r="CR40" i="9"/>
  <c r="CS40" i="9"/>
  <c r="CT40" i="9"/>
  <c r="CU40" i="9"/>
  <c r="CV40" i="9"/>
  <c r="CW40" i="9"/>
  <c r="CX40" i="9"/>
  <c r="CY40" i="9"/>
  <c r="CZ40" i="9"/>
  <c r="DA40" i="9"/>
  <c r="DB40" i="9"/>
  <c r="DC40" i="9"/>
  <c r="DD40" i="9"/>
  <c r="DE40" i="9"/>
  <c r="DF40" i="9"/>
  <c r="DG40" i="9"/>
  <c r="DH40" i="9"/>
  <c r="DI40" i="9"/>
  <c r="DJ40" i="9"/>
  <c r="DK40" i="9"/>
  <c r="DL40" i="9"/>
  <c r="DM40" i="9"/>
  <c r="DN40" i="9"/>
  <c r="DO40" i="9"/>
  <c r="DP40" i="9"/>
  <c r="DQ40" i="9"/>
  <c r="DR40" i="9"/>
  <c r="DS40" i="9"/>
  <c r="DT40" i="9"/>
  <c r="DU40" i="9"/>
  <c r="DV40" i="9"/>
  <c r="DW40" i="9"/>
  <c r="DX40" i="9"/>
  <c r="BM41" i="9"/>
  <c r="CI41" i="9"/>
  <c r="CJ41" i="9"/>
  <c r="CK41" i="9"/>
  <c r="CL41" i="9"/>
  <c r="CM41" i="9"/>
  <c r="CN41" i="9"/>
  <c r="CO41" i="9"/>
  <c r="CP41" i="9"/>
  <c r="CQ41" i="9"/>
  <c r="CR41" i="9"/>
  <c r="CS41" i="9"/>
  <c r="CT41" i="9"/>
  <c r="CU41" i="9"/>
  <c r="CV41" i="9"/>
  <c r="CW41" i="9"/>
  <c r="CX41" i="9"/>
  <c r="CY41" i="9"/>
  <c r="CZ41" i="9"/>
  <c r="DA41" i="9"/>
  <c r="DB41" i="9"/>
  <c r="DC41" i="9"/>
  <c r="DD41" i="9"/>
  <c r="DE41" i="9"/>
  <c r="DF41" i="9"/>
  <c r="DG41" i="9"/>
  <c r="DH41" i="9"/>
  <c r="DI41" i="9"/>
  <c r="DJ41" i="9"/>
  <c r="DK41" i="9"/>
  <c r="DL41" i="9"/>
  <c r="DM41" i="9"/>
  <c r="DN41" i="9"/>
  <c r="DO41" i="9"/>
  <c r="DP41" i="9"/>
  <c r="DQ41" i="9"/>
  <c r="DR41" i="9"/>
  <c r="DS41" i="9"/>
  <c r="DT41" i="9"/>
  <c r="DU41" i="9"/>
  <c r="DV41" i="9"/>
  <c r="DW41" i="9"/>
  <c r="DX41" i="9"/>
  <c r="BI42" i="9"/>
  <c r="CI42" i="9"/>
  <c r="CJ42" i="9"/>
  <c r="CK42" i="9"/>
  <c r="CL42" i="9"/>
  <c r="CM42" i="9"/>
  <c r="CN42" i="9"/>
  <c r="CO42" i="9"/>
  <c r="CP42" i="9"/>
  <c r="CQ42" i="9"/>
  <c r="CR42" i="9"/>
  <c r="CS42" i="9"/>
  <c r="CT42" i="9"/>
  <c r="CU42" i="9"/>
  <c r="CV42" i="9"/>
  <c r="CW42" i="9"/>
  <c r="CX42" i="9"/>
  <c r="CY42" i="9"/>
  <c r="CZ42" i="9"/>
  <c r="DA42" i="9"/>
  <c r="DB42" i="9"/>
  <c r="DC42" i="9"/>
  <c r="DD42" i="9"/>
  <c r="DE42" i="9"/>
  <c r="DF42" i="9"/>
  <c r="DG42" i="9"/>
  <c r="DH42" i="9"/>
  <c r="DI42" i="9"/>
  <c r="DJ42" i="9"/>
  <c r="DK42" i="9"/>
  <c r="DL42" i="9"/>
  <c r="DM42" i="9"/>
  <c r="DN42" i="9"/>
  <c r="DO42" i="9"/>
  <c r="DP42" i="9"/>
  <c r="DQ42" i="9"/>
  <c r="DR42" i="9"/>
  <c r="DS42" i="9"/>
  <c r="DT42" i="9"/>
  <c r="DU42" i="9"/>
  <c r="DV42" i="9"/>
  <c r="DW42" i="9"/>
  <c r="DX42" i="9"/>
  <c r="BE43" i="9"/>
  <c r="CI43" i="9"/>
  <c r="CJ43" i="9"/>
  <c r="CK43" i="9"/>
  <c r="CL43" i="9"/>
  <c r="CM43" i="9"/>
  <c r="CN43" i="9"/>
  <c r="CO43" i="9"/>
  <c r="CP43" i="9"/>
  <c r="CQ43" i="9"/>
  <c r="CR43" i="9"/>
  <c r="CS43" i="9"/>
  <c r="CT43" i="9"/>
  <c r="CU43" i="9"/>
  <c r="CV43" i="9"/>
  <c r="CW43" i="9"/>
  <c r="CX43" i="9"/>
  <c r="CY43" i="9"/>
  <c r="CZ43" i="9"/>
  <c r="DA43" i="9"/>
  <c r="DB43" i="9"/>
  <c r="DC43" i="9"/>
  <c r="DD43" i="9"/>
  <c r="DE43" i="9"/>
  <c r="DF43" i="9"/>
  <c r="DG43" i="9"/>
  <c r="DH43" i="9"/>
  <c r="DI43" i="9"/>
  <c r="DJ43" i="9"/>
  <c r="DK43" i="9"/>
  <c r="DL43" i="9"/>
  <c r="DM43" i="9"/>
  <c r="DN43" i="9"/>
  <c r="DO43" i="9"/>
  <c r="DP43" i="9"/>
  <c r="DQ43" i="9"/>
  <c r="DR43" i="9"/>
  <c r="DS43" i="9"/>
  <c r="DT43" i="9"/>
  <c r="DU43" i="9"/>
  <c r="DV43" i="9"/>
  <c r="DW43" i="9"/>
  <c r="DX43" i="9"/>
  <c r="BY44" i="9"/>
  <c r="CI44" i="9"/>
  <c r="CJ44" i="9"/>
  <c r="CK44" i="9"/>
  <c r="CL44" i="9"/>
  <c r="CM44" i="9"/>
  <c r="CN44" i="9"/>
  <c r="CO44" i="9"/>
  <c r="CP44" i="9"/>
  <c r="CQ44" i="9"/>
  <c r="CR44" i="9"/>
  <c r="CS44" i="9"/>
  <c r="CT44" i="9"/>
  <c r="CU44" i="9"/>
  <c r="CV44" i="9"/>
  <c r="CW44" i="9"/>
  <c r="CX44" i="9"/>
  <c r="CY44" i="9"/>
  <c r="CZ44" i="9"/>
  <c r="DA44" i="9"/>
  <c r="DB44" i="9"/>
  <c r="DC44" i="9"/>
  <c r="DD44" i="9"/>
  <c r="DE44" i="9"/>
  <c r="DF44" i="9"/>
  <c r="DG44" i="9"/>
  <c r="DH44" i="9"/>
  <c r="DI44" i="9"/>
  <c r="DJ44" i="9"/>
  <c r="DK44" i="9"/>
  <c r="DL44" i="9"/>
  <c r="DM44" i="9"/>
  <c r="DN44" i="9"/>
  <c r="DO44" i="9"/>
  <c r="DP44" i="9"/>
  <c r="DQ44" i="9"/>
  <c r="DR44" i="9"/>
  <c r="DS44" i="9"/>
  <c r="DT44" i="9"/>
  <c r="DU44" i="9"/>
  <c r="DV44" i="9"/>
  <c r="DW44" i="9"/>
  <c r="DX44" i="9"/>
  <c r="BW45" i="9"/>
  <c r="CI45" i="9"/>
  <c r="CJ45" i="9"/>
  <c r="CK45" i="9"/>
  <c r="CL45" i="9"/>
  <c r="CM45" i="9"/>
  <c r="CN45" i="9"/>
  <c r="CO45" i="9"/>
  <c r="CP45" i="9"/>
  <c r="CQ45" i="9"/>
  <c r="CR45" i="9"/>
  <c r="CS45" i="9"/>
  <c r="CT45" i="9"/>
  <c r="CU45" i="9"/>
  <c r="CV45" i="9"/>
  <c r="CW45" i="9"/>
  <c r="CX45" i="9"/>
  <c r="CY45" i="9"/>
  <c r="CZ45" i="9"/>
  <c r="DA45" i="9"/>
  <c r="DB45" i="9"/>
  <c r="DC45" i="9"/>
  <c r="DD45" i="9"/>
  <c r="DE45" i="9"/>
  <c r="DF45" i="9"/>
  <c r="DG45" i="9"/>
  <c r="DH45" i="9"/>
  <c r="DI45" i="9"/>
  <c r="DJ45" i="9"/>
  <c r="DK45" i="9"/>
  <c r="DL45" i="9"/>
  <c r="DM45" i="9"/>
  <c r="DN45" i="9"/>
  <c r="DO45" i="9"/>
  <c r="DP45" i="9"/>
  <c r="DQ45" i="9"/>
  <c r="DR45" i="9"/>
  <c r="DS45" i="9"/>
  <c r="DT45" i="9"/>
  <c r="DU45" i="9"/>
  <c r="DV45" i="9"/>
  <c r="DW45" i="9"/>
  <c r="DX45" i="9"/>
  <c r="BT46" i="9"/>
  <c r="CJ46" i="9"/>
  <c r="CK46" i="9"/>
  <c r="CL46" i="9"/>
  <c r="CM46" i="9"/>
  <c r="CN46" i="9"/>
  <c r="CO46" i="9"/>
  <c r="CP46" i="9"/>
  <c r="CQ46" i="9"/>
  <c r="CR46" i="9"/>
  <c r="CS46" i="9"/>
  <c r="CT46" i="9"/>
  <c r="CU46" i="9"/>
  <c r="CV46" i="9"/>
  <c r="CW46" i="9"/>
  <c r="CX46" i="9"/>
  <c r="CY46" i="9"/>
  <c r="CZ46" i="9"/>
  <c r="DA46" i="9"/>
  <c r="DB46" i="9"/>
  <c r="DC46" i="9"/>
  <c r="DD46" i="9"/>
  <c r="DE46" i="9"/>
  <c r="DF46" i="9"/>
  <c r="DG46" i="9"/>
  <c r="DH46" i="9"/>
  <c r="DI46" i="9"/>
  <c r="DJ46" i="9"/>
  <c r="DK46" i="9"/>
  <c r="DL46" i="9"/>
  <c r="DM46" i="9"/>
  <c r="DN46" i="9"/>
  <c r="DO46" i="9"/>
  <c r="DP46" i="9"/>
  <c r="DQ46" i="9"/>
  <c r="DR46" i="9"/>
  <c r="DS46" i="9"/>
  <c r="DT46" i="9"/>
  <c r="DU46" i="9"/>
  <c r="DV46" i="9"/>
  <c r="DW46" i="9"/>
  <c r="DX46" i="9"/>
  <c r="CI46" i="9"/>
  <c r="P47" i="9"/>
  <c r="CI47" i="9"/>
  <c r="CJ47" i="9"/>
  <c r="CK47" i="9"/>
  <c r="CL47" i="9"/>
  <c r="CM47" i="9"/>
  <c r="CN47" i="9"/>
  <c r="CO47" i="9"/>
  <c r="CP47" i="9"/>
  <c r="CQ47" i="9"/>
  <c r="CR47" i="9"/>
  <c r="CS47" i="9"/>
  <c r="CT47" i="9"/>
  <c r="CU47" i="9"/>
  <c r="CV47" i="9"/>
  <c r="CW47" i="9"/>
  <c r="CX47" i="9"/>
  <c r="CY47" i="9"/>
  <c r="CZ47" i="9"/>
  <c r="DA47" i="9"/>
  <c r="DB47" i="9"/>
  <c r="DC47" i="9"/>
  <c r="DD47" i="9"/>
  <c r="DE47" i="9"/>
  <c r="DF47" i="9"/>
  <c r="DG47" i="9"/>
  <c r="DH47" i="9"/>
  <c r="DI47" i="9"/>
  <c r="DJ47" i="9"/>
  <c r="DK47" i="9"/>
  <c r="DL47" i="9"/>
  <c r="DM47" i="9"/>
  <c r="DN47" i="9"/>
  <c r="DO47" i="9"/>
  <c r="DP47" i="9"/>
  <c r="DQ47" i="9"/>
  <c r="DR47" i="9"/>
  <c r="DS47" i="9"/>
  <c r="DT47" i="9"/>
  <c r="DU47" i="9"/>
  <c r="DV47" i="9"/>
  <c r="DW47" i="9"/>
  <c r="DX47" i="9"/>
  <c r="L48" i="9"/>
  <c r="CI48" i="9"/>
  <c r="CJ48" i="9"/>
  <c r="CK48" i="9"/>
  <c r="CL48" i="9"/>
  <c r="CM48" i="9"/>
  <c r="CN48" i="9"/>
  <c r="CO48" i="9"/>
  <c r="CP48" i="9"/>
  <c r="CQ48" i="9"/>
  <c r="CR48" i="9"/>
  <c r="CS48" i="9"/>
  <c r="CT48" i="9"/>
  <c r="CU48" i="9"/>
  <c r="CV48" i="9"/>
  <c r="CW48" i="9"/>
  <c r="CX48" i="9"/>
  <c r="CY48" i="9"/>
  <c r="CZ48" i="9"/>
  <c r="DA48" i="9"/>
  <c r="DB48" i="9"/>
  <c r="DC48" i="9"/>
  <c r="DD48" i="9"/>
  <c r="DE48" i="9"/>
  <c r="DF48" i="9"/>
  <c r="DG48" i="9"/>
  <c r="DH48" i="9"/>
  <c r="DI48" i="9"/>
  <c r="DJ48" i="9"/>
  <c r="DK48" i="9"/>
  <c r="DL48" i="9"/>
  <c r="DM48" i="9"/>
  <c r="DN48" i="9"/>
  <c r="DO48" i="9"/>
  <c r="DP48" i="9"/>
  <c r="DQ48" i="9"/>
  <c r="DR48" i="9"/>
  <c r="DS48" i="9"/>
  <c r="DT48" i="9"/>
  <c r="DU48" i="9"/>
  <c r="DV48" i="9"/>
  <c r="DW48" i="9"/>
  <c r="DX48" i="9"/>
  <c r="CI49" i="9"/>
  <c r="CJ49" i="9"/>
  <c r="CK49" i="9"/>
  <c r="CL49" i="9"/>
  <c r="CM49" i="9"/>
  <c r="CN49" i="9"/>
  <c r="CO49" i="9"/>
  <c r="CP49" i="9"/>
  <c r="CQ49" i="9"/>
  <c r="CR49" i="9"/>
  <c r="CS49" i="9"/>
  <c r="CT49" i="9"/>
  <c r="CU49" i="9"/>
  <c r="CV49" i="9"/>
  <c r="CW49" i="9"/>
  <c r="CX49" i="9"/>
  <c r="CY49" i="9"/>
  <c r="CZ49" i="9"/>
  <c r="DA49" i="9"/>
  <c r="DB49" i="9"/>
  <c r="DC49" i="9"/>
  <c r="DD49" i="9"/>
  <c r="DE49" i="9"/>
  <c r="DF49" i="9"/>
  <c r="DG49" i="9"/>
  <c r="DH49" i="9"/>
  <c r="DI49" i="9"/>
  <c r="DJ49" i="9"/>
  <c r="DK49" i="9"/>
  <c r="DL49" i="9"/>
  <c r="DM49" i="9"/>
  <c r="DN49" i="9"/>
  <c r="DO49" i="9"/>
  <c r="DP49" i="9"/>
  <c r="DQ49" i="9"/>
  <c r="DR49" i="9"/>
  <c r="DS49" i="9"/>
  <c r="DT49" i="9"/>
  <c r="DU49" i="9"/>
  <c r="DV49" i="9"/>
  <c r="DW49" i="9"/>
  <c r="DX49" i="9"/>
  <c r="CI53" i="9"/>
  <c r="CJ53" i="9"/>
  <c r="CK53" i="9"/>
  <c r="CL53" i="9"/>
  <c r="CM53" i="9"/>
  <c r="CN53" i="9"/>
  <c r="CO53" i="9"/>
  <c r="CP53" i="9"/>
  <c r="CQ53" i="9"/>
  <c r="CR53" i="9"/>
  <c r="CS53" i="9"/>
  <c r="CT53" i="9"/>
  <c r="CU53" i="9"/>
  <c r="CV53" i="9"/>
  <c r="CW53" i="9"/>
  <c r="CX53" i="9"/>
  <c r="CY53" i="9"/>
  <c r="CZ53" i="9"/>
  <c r="DA53" i="9"/>
  <c r="DB53" i="9"/>
  <c r="DC53" i="9"/>
  <c r="DD53" i="9"/>
  <c r="DE53" i="9"/>
  <c r="DF53" i="9"/>
  <c r="DG53" i="9"/>
  <c r="DH53" i="9"/>
  <c r="DI53" i="9"/>
  <c r="DJ53" i="9"/>
  <c r="DK53" i="9"/>
  <c r="DL53" i="9"/>
  <c r="DM53" i="9"/>
  <c r="DN53" i="9"/>
  <c r="DO53" i="9"/>
  <c r="DP53" i="9"/>
  <c r="DQ53" i="9"/>
  <c r="DR53" i="9"/>
  <c r="DS53" i="9"/>
  <c r="DT53" i="9"/>
  <c r="DU53" i="9"/>
  <c r="DV53" i="9"/>
  <c r="DW53" i="9"/>
  <c r="DX53" i="9"/>
  <c r="BG56" i="9"/>
  <c r="CJ56" i="9"/>
  <c r="CK56" i="9"/>
  <c r="CL56" i="9"/>
  <c r="CM56" i="9"/>
  <c r="CN56" i="9"/>
  <c r="CO56" i="9"/>
  <c r="CP56" i="9"/>
  <c r="CQ56" i="9"/>
  <c r="CR56" i="9"/>
  <c r="CS56" i="9"/>
  <c r="CT56" i="9"/>
  <c r="CU56" i="9"/>
  <c r="CV56" i="9"/>
  <c r="CW56" i="9"/>
  <c r="CX56" i="9"/>
  <c r="CY56" i="9"/>
  <c r="CZ56" i="9"/>
  <c r="DA56" i="9"/>
  <c r="DB56" i="9"/>
  <c r="DC56" i="9"/>
  <c r="DD56" i="9"/>
  <c r="DE56" i="9"/>
  <c r="DF56" i="9"/>
  <c r="DG56" i="9"/>
  <c r="DH56" i="9"/>
  <c r="DI56" i="9"/>
  <c r="DJ56" i="9"/>
  <c r="DK56" i="9"/>
  <c r="DL56" i="9"/>
  <c r="DM56" i="9"/>
  <c r="DN56" i="9"/>
  <c r="DO56" i="9"/>
  <c r="DP56" i="9"/>
  <c r="DQ56" i="9"/>
  <c r="DR56" i="9"/>
  <c r="DS56" i="9"/>
  <c r="DT56" i="9"/>
  <c r="DU56" i="9"/>
  <c r="DV56" i="9"/>
  <c r="DW56" i="9"/>
  <c r="DX56" i="9"/>
  <c r="CI56" i="9"/>
  <c r="R57" i="9"/>
  <c r="CI57" i="9"/>
  <c r="CJ57" i="9"/>
  <c r="CK57" i="9"/>
  <c r="CL57" i="9"/>
  <c r="CM57" i="9"/>
  <c r="CN57" i="9"/>
  <c r="CO57" i="9"/>
  <c r="CP57" i="9"/>
  <c r="CQ57" i="9"/>
  <c r="CR57" i="9"/>
  <c r="CS57" i="9"/>
  <c r="CT57" i="9"/>
  <c r="CU57" i="9"/>
  <c r="CV57" i="9"/>
  <c r="CW57" i="9"/>
  <c r="CX57" i="9"/>
  <c r="CY57" i="9"/>
  <c r="CZ57" i="9"/>
  <c r="DA57" i="9"/>
  <c r="DB57" i="9"/>
  <c r="DC57" i="9"/>
  <c r="DD57" i="9"/>
  <c r="DE57" i="9"/>
  <c r="DF57" i="9"/>
  <c r="DG57" i="9"/>
  <c r="DH57" i="9"/>
  <c r="DI57" i="9"/>
  <c r="DJ57" i="9"/>
  <c r="DK57" i="9"/>
  <c r="DL57" i="9"/>
  <c r="DM57" i="9"/>
  <c r="DN57" i="9"/>
  <c r="DO57" i="9"/>
  <c r="DP57" i="9"/>
  <c r="DQ57" i="9"/>
  <c r="DR57" i="9"/>
  <c r="DS57" i="9"/>
  <c r="DT57" i="9"/>
  <c r="DU57" i="9"/>
  <c r="DV57" i="9"/>
  <c r="DW57" i="9"/>
  <c r="DX57" i="9"/>
  <c r="S58" i="9"/>
  <c r="CI58" i="9"/>
  <c r="CJ58" i="9"/>
  <c r="CK58" i="9"/>
  <c r="CL58" i="9"/>
  <c r="CM58" i="9"/>
  <c r="CN58" i="9"/>
  <c r="CO58" i="9"/>
  <c r="CP58" i="9"/>
  <c r="CQ58" i="9"/>
  <c r="CR58" i="9"/>
  <c r="CS58" i="9"/>
  <c r="CT58" i="9"/>
  <c r="CU58" i="9"/>
  <c r="CV58" i="9"/>
  <c r="CW58" i="9"/>
  <c r="CX58" i="9"/>
  <c r="CY58" i="9"/>
  <c r="CZ58" i="9"/>
  <c r="DA58" i="9"/>
  <c r="DB58" i="9"/>
  <c r="DC58" i="9"/>
  <c r="DD58" i="9"/>
  <c r="DE58" i="9"/>
  <c r="DF58" i="9"/>
  <c r="DG58" i="9"/>
  <c r="DH58" i="9"/>
  <c r="DI58" i="9"/>
  <c r="DJ58" i="9"/>
  <c r="DK58" i="9"/>
  <c r="DL58" i="9"/>
  <c r="DM58" i="9"/>
  <c r="DN58" i="9"/>
  <c r="DO58" i="9"/>
  <c r="DP58" i="9"/>
  <c r="DQ58" i="9"/>
  <c r="DR58" i="9"/>
  <c r="DS58" i="9"/>
  <c r="DT58" i="9"/>
  <c r="DU58" i="9"/>
  <c r="DV58" i="9"/>
  <c r="DW58" i="9"/>
  <c r="DX58" i="9"/>
  <c r="N59" i="9"/>
  <c r="CI59" i="9"/>
  <c r="CJ59" i="9"/>
  <c r="CK59" i="9"/>
  <c r="CL59" i="9"/>
  <c r="CM59" i="9"/>
  <c r="CN59" i="9"/>
  <c r="CO59" i="9"/>
  <c r="CP59" i="9"/>
  <c r="CQ59" i="9"/>
  <c r="CR59" i="9"/>
  <c r="CS59" i="9"/>
  <c r="CT59" i="9"/>
  <c r="CU59" i="9"/>
  <c r="CV59" i="9"/>
  <c r="CW59" i="9"/>
  <c r="CX59" i="9"/>
  <c r="CY59" i="9"/>
  <c r="CZ59" i="9"/>
  <c r="DA59" i="9"/>
  <c r="DB59" i="9"/>
  <c r="DC59" i="9"/>
  <c r="DD59" i="9"/>
  <c r="DE59" i="9"/>
  <c r="DF59" i="9"/>
  <c r="DG59" i="9"/>
  <c r="DH59" i="9"/>
  <c r="DI59" i="9"/>
  <c r="DJ59" i="9"/>
  <c r="DK59" i="9"/>
  <c r="DL59" i="9"/>
  <c r="DM59" i="9"/>
  <c r="DN59" i="9"/>
  <c r="DO59" i="9"/>
  <c r="DP59" i="9"/>
  <c r="DQ59" i="9"/>
  <c r="DR59" i="9"/>
  <c r="DS59" i="9"/>
  <c r="DT59" i="9"/>
  <c r="DU59" i="9"/>
  <c r="DV59" i="9"/>
  <c r="DW59" i="9"/>
  <c r="DX59" i="9"/>
  <c r="P60" i="9"/>
  <c r="CI60" i="9"/>
  <c r="CJ60" i="9"/>
  <c r="CK60" i="9"/>
  <c r="CL60" i="9"/>
  <c r="CM60" i="9"/>
  <c r="CN60" i="9"/>
  <c r="CO60" i="9"/>
  <c r="CP60" i="9"/>
  <c r="CQ60" i="9"/>
  <c r="CR60" i="9"/>
  <c r="CS60" i="9"/>
  <c r="CT60" i="9"/>
  <c r="CU60" i="9"/>
  <c r="CV60" i="9"/>
  <c r="CW60" i="9"/>
  <c r="CX60" i="9"/>
  <c r="CY60" i="9"/>
  <c r="CZ60" i="9"/>
  <c r="DA60" i="9"/>
  <c r="DB60" i="9"/>
  <c r="DC60" i="9"/>
  <c r="DD60" i="9"/>
  <c r="DE60" i="9"/>
  <c r="DF60" i="9"/>
  <c r="DG60" i="9"/>
  <c r="DH60" i="9"/>
  <c r="DI60" i="9"/>
  <c r="DJ60" i="9"/>
  <c r="DK60" i="9"/>
  <c r="DL60" i="9"/>
  <c r="DM60" i="9"/>
  <c r="DN60" i="9"/>
  <c r="DO60" i="9"/>
  <c r="DP60" i="9"/>
  <c r="DQ60" i="9"/>
  <c r="DR60" i="9"/>
  <c r="DS60" i="9"/>
  <c r="DT60" i="9"/>
  <c r="DU60" i="9"/>
  <c r="DV60" i="9"/>
  <c r="DW60" i="9"/>
  <c r="DX60" i="9"/>
  <c r="L61" i="9"/>
  <c r="CI61" i="9"/>
  <c r="CJ61" i="9"/>
  <c r="CK61" i="9"/>
  <c r="CL61" i="9"/>
  <c r="CM61" i="9"/>
  <c r="CN61" i="9"/>
  <c r="CO61" i="9"/>
  <c r="CP61" i="9"/>
  <c r="CQ61" i="9"/>
  <c r="CR61" i="9"/>
  <c r="CS61" i="9"/>
  <c r="CT61" i="9"/>
  <c r="CU61" i="9"/>
  <c r="CV61" i="9"/>
  <c r="CW61" i="9"/>
  <c r="CX61" i="9"/>
  <c r="CY61" i="9"/>
  <c r="CZ61" i="9"/>
  <c r="DA61" i="9"/>
  <c r="DB61" i="9"/>
  <c r="DC61" i="9"/>
  <c r="DD61" i="9"/>
  <c r="DE61" i="9"/>
  <c r="DF61" i="9"/>
  <c r="DG61" i="9"/>
  <c r="DH61" i="9"/>
  <c r="DI61" i="9"/>
  <c r="DJ61" i="9"/>
  <c r="DK61" i="9"/>
  <c r="DL61" i="9"/>
  <c r="DM61" i="9"/>
  <c r="DN61" i="9"/>
  <c r="DO61" i="9"/>
  <c r="DP61" i="9"/>
  <c r="DQ61" i="9"/>
  <c r="DR61" i="9"/>
  <c r="DS61" i="9"/>
  <c r="DT61" i="9"/>
  <c r="DU61" i="9"/>
  <c r="DV61" i="9"/>
  <c r="DW61" i="9"/>
  <c r="DX61" i="9"/>
  <c r="Q62" i="9"/>
  <c r="CI62" i="9"/>
  <c r="CJ62" i="9"/>
  <c r="CK62" i="9"/>
  <c r="CL62" i="9"/>
  <c r="CM62" i="9"/>
  <c r="CN62" i="9"/>
  <c r="CO62" i="9"/>
  <c r="CP62" i="9"/>
  <c r="CQ62" i="9"/>
  <c r="CR62" i="9"/>
  <c r="CS62" i="9"/>
  <c r="CT62" i="9"/>
  <c r="CU62" i="9"/>
  <c r="CV62" i="9"/>
  <c r="CW62" i="9"/>
  <c r="CX62" i="9"/>
  <c r="CY62" i="9"/>
  <c r="CZ62" i="9"/>
  <c r="DA62" i="9"/>
  <c r="DB62" i="9"/>
  <c r="DC62" i="9"/>
  <c r="DD62" i="9"/>
  <c r="DE62" i="9"/>
  <c r="DF62" i="9"/>
  <c r="DG62" i="9"/>
  <c r="DH62" i="9"/>
  <c r="DI62" i="9"/>
  <c r="DJ62" i="9"/>
  <c r="DK62" i="9"/>
  <c r="DL62" i="9"/>
  <c r="DM62" i="9"/>
  <c r="DN62" i="9"/>
  <c r="DO62" i="9"/>
  <c r="DP62" i="9"/>
  <c r="DQ62" i="9"/>
  <c r="DR62" i="9"/>
  <c r="DS62" i="9"/>
  <c r="DT62" i="9"/>
  <c r="DU62" i="9"/>
  <c r="DV62" i="9"/>
  <c r="DW62" i="9"/>
  <c r="DX62" i="9"/>
  <c r="O63" i="9"/>
  <c r="CI63" i="9"/>
  <c r="CJ63" i="9"/>
  <c r="CK63" i="9"/>
  <c r="CL63" i="9"/>
  <c r="CM63" i="9"/>
  <c r="CN63" i="9"/>
  <c r="CO63" i="9"/>
  <c r="CP63" i="9"/>
  <c r="CQ63" i="9"/>
  <c r="CR63" i="9"/>
  <c r="CS63" i="9"/>
  <c r="CT63" i="9"/>
  <c r="CU63" i="9"/>
  <c r="CV63" i="9"/>
  <c r="CW63" i="9"/>
  <c r="CX63" i="9"/>
  <c r="CY63" i="9"/>
  <c r="CZ63" i="9"/>
  <c r="DA63" i="9"/>
  <c r="DB63" i="9"/>
  <c r="DC63" i="9"/>
  <c r="DD63" i="9"/>
  <c r="DE63" i="9"/>
  <c r="DF63" i="9"/>
  <c r="DG63" i="9"/>
  <c r="DH63" i="9"/>
  <c r="DI63" i="9"/>
  <c r="DJ63" i="9"/>
  <c r="DK63" i="9"/>
  <c r="DL63" i="9"/>
  <c r="DM63" i="9"/>
  <c r="DN63" i="9"/>
  <c r="DO63" i="9"/>
  <c r="DP63" i="9"/>
  <c r="DQ63" i="9"/>
  <c r="DR63" i="9"/>
  <c r="DS63" i="9"/>
  <c r="DT63" i="9"/>
  <c r="DU63" i="9"/>
  <c r="DV63" i="9"/>
  <c r="DW63" i="9"/>
  <c r="DX63" i="9"/>
  <c r="Q64" i="9"/>
  <c r="DL63" i="2" s="1"/>
  <c r="CI64" i="9"/>
  <c r="CJ64" i="9"/>
  <c r="CK64" i="9"/>
  <c r="CL64" i="9"/>
  <c r="CM64" i="9"/>
  <c r="CN64" i="9"/>
  <c r="CO64" i="9"/>
  <c r="CP64" i="9"/>
  <c r="CQ64" i="9"/>
  <c r="CR64" i="9"/>
  <c r="CS64" i="9"/>
  <c r="CT64" i="9"/>
  <c r="CU64" i="9"/>
  <c r="CV64" i="9"/>
  <c r="CW64" i="9"/>
  <c r="CX64" i="9"/>
  <c r="CY64" i="9"/>
  <c r="CZ64" i="9"/>
  <c r="DA64" i="9"/>
  <c r="DB64" i="9"/>
  <c r="DC64" i="9"/>
  <c r="DD64" i="9"/>
  <c r="DE64" i="9"/>
  <c r="DF64" i="9"/>
  <c r="DG64" i="9"/>
  <c r="DH64" i="9"/>
  <c r="DI64" i="9"/>
  <c r="DJ64" i="9"/>
  <c r="DK64" i="9"/>
  <c r="DL64" i="9"/>
  <c r="DM64" i="9"/>
  <c r="DN64" i="9"/>
  <c r="DO64" i="9"/>
  <c r="DP64" i="9"/>
  <c r="DQ64" i="9"/>
  <c r="DR64" i="9"/>
  <c r="DS64" i="9"/>
  <c r="DT64" i="9"/>
  <c r="DU64" i="9"/>
  <c r="DV64" i="9"/>
  <c r="DW64" i="9"/>
  <c r="DX64" i="9"/>
  <c r="J65" i="9"/>
  <c r="CI65" i="9"/>
  <c r="CJ65" i="9"/>
  <c r="CK65" i="9"/>
  <c r="CL65" i="9"/>
  <c r="CM65" i="9"/>
  <c r="CN65" i="9"/>
  <c r="CO65" i="9"/>
  <c r="CP65" i="9"/>
  <c r="CQ65" i="9"/>
  <c r="CR65" i="9"/>
  <c r="CS65" i="9"/>
  <c r="CT65" i="9"/>
  <c r="CU65" i="9"/>
  <c r="CV65" i="9"/>
  <c r="CW65" i="9"/>
  <c r="CX65" i="9"/>
  <c r="CY65" i="9"/>
  <c r="CZ65" i="9"/>
  <c r="DA65" i="9"/>
  <c r="DB65" i="9"/>
  <c r="DC65" i="9"/>
  <c r="DD65" i="9"/>
  <c r="DE65" i="9"/>
  <c r="DF65" i="9"/>
  <c r="DG65" i="9"/>
  <c r="DH65" i="9"/>
  <c r="DI65" i="9"/>
  <c r="DJ65" i="9"/>
  <c r="DK65" i="9"/>
  <c r="DL65" i="9"/>
  <c r="DM65" i="9"/>
  <c r="DN65" i="9"/>
  <c r="DO65" i="9"/>
  <c r="DP65" i="9"/>
  <c r="DQ65" i="9"/>
  <c r="DR65" i="9"/>
  <c r="DS65" i="9"/>
  <c r="DT65" i="9"/>
  <c r="DU65" i="9"/>
  <c r="DV65" i="9"/>
  <c r="DW65" i="9"/>
  <c r="DX65" i="9"/>
  <c r="R66" i="9"/>
  <c r="CI66" i="9"/>
  <c r="CJ66" i="9"/>
  <c r="CK66" i="9"/>
  <c r="CL66" i="9"/>
  <c r="CM66" i="9"/>
  <c r="CN66" i="9"/>
  <c r="CO66" i="9"/>
  <c r="CP66" i="9"/>
  <c r="CQ66" i="9"/>
  <c r="CR66" i="9"/>
  <c r="CS66" i="9"/>
  <c r="CT66" i="9"/>
  <c r="CU66" i="9"/>
  <c r="CV66" i="9"/>
  <c r="CW66" i="9"/>
  <c r="CX66" i="9"/>
  <c r="CY66" i="9"/>
  <c r="CZ66" i="9"/>
  <c r="DA66" i="9"/>
  <c r="DB66" i="9"/>
  <c r="DC66" i="9"/>
  <c r="DD66" i="9"/>
  <c r="DE66" i="9"/>
  <c r="DF66" i="9"/>
  <c r="DG66" i="9"/>
  <c r="DH66" i="9"/>
  <c r="DI66" i="9"/>
  <c r="DJ66" i="9"/>
  <c r="DK66" i="9"/>
  <c r="DL66" i="9"/>
  <c r="DM66" i="9"/>
  <c r="DN66" i="9"/>
  <c r="DO66" i="9"/>
  <c r="DP66" i="9"/>
  <c r="DQ66" i="9"/>
  <c r="DR66" i="9"/>
  <c r="DS66" i="9"/>
  <c r="DT66" i="9"/>
  <c r="DU66" i="9"/>
  <c r="DV66" i="9"/>
  <c r="DW66" i="9"/>
  <c r="DX66" i="9"/>
  <c r="G67" i="9"/>
  <c r="CI67" i="9"/>
  <c r="CJ67" i="9"/>
  <c r="CK67" i="9"/>
  <c r="CL67" i="9"/>
  <c r="CM67" i="9"/>
  <c r="CN67" i="9"/>
  <c r="CO67" i="9"/>
  <c r="CP67" i="9"/>
  <c r="CQ67" i="9"/>
  <c r="CR67" i="9"/>
  <c r="CS67" i="9"/>
  <c r="CT67" i="9"/>
  <c r="CU67" i="9"/>
  <c r="CV67" i="9"/>
  <c r="CW67" i="9"/>
  <c r="CX67" i="9"/>
  <c r="CY67" i="9"/>
  <c r="CZ67" i="9"/>
  <c r="DA67" i="9"/>
  <c r="DB67" i="9"/>
  <c r="DC67" i="9"/>
  <c r="DD67" i="9"/>
  <c r="DE67" i="9"/>
  <c r="DF67" i="9"/>
  <c r="DG67" i="9"/>
  <c r="DH67" i="9"/>
  <c r="DI67" i="9"/>
  <c r="DJ67" i="9"/>
  <c r="DK67" i="9"/>
  <c r="DL67" i="9"/>
  <c r="DM67" i="9"/>
  <c r="DN67" i="9"/>
  <c r="DO67" i="9"/>
  <c r="DP67" i="9"/>
  <c r="DQ67" i="9"/>
  <c r="DR67" i="9"/>
  <c r="DS67" i="9"/>
  <c r="DT67" i="9"/>
  <c r="DU67" i="9"/>
  <c r="DV67" i="9"/>
  <c r="DW67" i="9"/>
  <c r="DX67" i="9"/>
  <c r="S68" i="9"/>
  <c r="CI68" i="9"/>
  <c r="CJ68" i="9"/>
  <c r="CK68" i="9"/>
  <c r="CL68" i="9"/>
  <c r="CM68" i="9"/>
  <c r="CN68" i="9"/>
  <c r="CO68" i="9"/>
  <c r="CP68" i="9"/>
  <c r="CQ68" i="9"/>
  <c r="CR68" i="9"/>
  <c r="CS68" i="9"/>
  <c r="CT68" i="9"/>
  <c r="CU68" i="9"/>
  <c r="CV68" i="9"/>
  <c r="CW68" i="9"/>
  <c r="CX68" i="9"/>
  <c r="CY68" i="9"/>
  <c r="CZ68" i="9"/>
  <c r="DA68" i="9"/>
  <c r="DB68" i="9"/>
  <c r="DC68" i="9"/>
  <c r="DD68" i="9"/>
  <c r="DE68" i="9"/>
  <c r="DF68" i="9"/>
  <c r="DG68" i="9"/>
  <c r="DH68" i="9"/>
  <c r="DI68" i="9"/>
  <c r="DJ68" i="9"/>
  <c r="DK68" i="9"/>
  <c r="DL68" i="9"/>
  <c r="DM68" i="9"/>
  <c r="DN68" i="9"/>
  <c r="DO68" i="9"/>
  <c r="DP68" i="9"/>
  <c r="DQ68" i="9"/>
  <c r="DR68" i="9"/>
  <c r="DS68" i="9"/>
  <c r="DT68" i="9"/>
  <c r="DU68" i="9"/>
  <c r="DV68" i="9"/>
  <c r="DW68" i="9"/>
  <c r="DX68" i="9"/>
  <c r="A69" i="9"/>
  <c r="CI69" i="9"/>
  <c r="CJ69" i="9"/>
  <c r="CK69" i="9"/>
  <c r="CL69" i="9"/>
  <c r="CM69" i="9"/>
  <c r="CN69" i="9"/>
  <c r="CO69" i="9"/>
  <c r="CP69" i="9"/>
  <c r="CQ69" i="9"/>
  <c r="CR69" i="9"/>
  <c r="CS69" i="9"/>
  <c r="CT69" i="9"/>
  <c r="CU69" i="9"/>
  <c r="CV69" i="9"/>
  <c r="CW69" i="9"/>
  <c r="CX69" i="9"/>
  <c r="CY69" i="9"/>
  <c r="CZ69" i="9"/>
  <c r="DA69" i="9"/>
  <c r="DB69" i="9"/>
  <c r="DC69" i="9"/>
  <c r="DD69" i="9"/>
  <c r="DE69" i="9"/>
  <c r="DF69" i="9"/>
  <c r="DG69" i="9"/>
  <c r="DH69" i="9"/>
  <c r="DI69" i="9"/>
  <c r="DJ69" i="9"/>
  <c r="DK69" i="9"/>
  <c r="DL69" i="9"/>
  <c r="DM69" i="9"/>
  <c r="DN69" i="9"/>
  <c r="DO69" i="9"/>
  <c r="DP69" i="9"/>
  <c r="DQ69" i="9"/>
  <c r="DR69" i="9"/>
  <c r="DS69" i="9"/>
  <c r="DT69" i="9"/>
  <c r="DU69" i="9"/>
  <c r="DV69" i="9"/>
  <c r="DW69" i="9"/>
  <c r="DX69" i="9"/>
  <c r="W26" i="9"/>
  <c r="CI26" i="9"/>
  <c r="CJ26" i="9"/>
  <c r="CK26" i="9"/>
  <c r="CL26" i="9"/>
  <c r="CM26" i="9"/>
  <c r="CN26" i="9"/>
  <c r="CO26" i="9"/>
  <c r="CP26" i="9"/>
  <c r="CQ26" i="9"/>
  <c r="CR26" i="9"/>
  <c r="CS26" i="9"/>
  <c r="CT26" i="9"/>
  <c r="CU26" i="9"/>
  <c r="CV26" i="9"/>
  <c r="CW26" i="9"/>
  <c r="CX26" i="9"/>
  <c r="CY26" i="9"/>
  <c r="CZ26" i="9"/>
  <c r="DA26" i="9"/>
  <c r="DB26" i="9"/>
  <c r="DC26" i="9"/>
  <c r="DD26" i="9"/>
  <c r="DE26" i="9"/>
  <c r="DF26" i="9"/>
  <c r="DG26" i="9"/>
  <c r="DH26" i="9"/>
  <c r="DI26" i="9"/>
  <c r="DJ26" i="9"/>
  <c r="DK26" i="9"/>
  <c r="DL26" i="9"/>
  <c r="DM26" i="9"/>
  <c r="DN26" i="9"/>
  <c r="DO26" i="9"/>
  <c r="DP26" i="9"/>
  <c r="DQ26" i="9"/>
  <c r="DR26" i="9"/>
  <c r="DS26" i="9"/>
  <c r="DT26" i="9"/>
  <c r="DU26" i="9"/>
  <c r="DV26" i="9"/>
  <c r="DW26" i="9"/>
  <c r="DX26" i="9"/>
  <c r="F52" i="11"/>
  <c r="B68" i="14"/>
  <c r="G68" i="14"/>
  <c r="E42" i="18"/>
  <c r="D69" i="14"/>
  <c r="D70" i="14"/>
  <c r="D71" i="14"/>
  <c r="F71" i="14"/>
  <c r="B42" i="18"/>
  <c r="B42" i="12"/>
  <c r="D29" i="14"/>
  <c r="D30" i="14"/>
  <c r="D31" i="14"/>
  <c r="F31" i="14"/>
  <c r="C52" i="11"/>
  <c r="B39" i="13"/>
  <c r="F42" i="18"/>
  <c r="C82" i="18"/>
  <c r="F39" i="13"/>
  <c r="D40" i="13"/>
  <c r="F40" i="13"/>
  <c r="E52" i="11"/>
  <c r="F42" i="12"/>
  <c r="G82" i="18"/>
  <c r="B82" i="18"/>
  <c r="E68" i="14"/>
  <c r="G42" i="18"/>
  <c r="C42" i="18"/>
  <c r="B87" i="11"/>
  <c r="G89" i="14"/>
  <c r="G67" i="11"/>
  <c r="F67" i="11"/>
  <c r="B57" i="12"/>
  <c r="G37" i="12"/>
  <c r="C82" i="11"/>
  <c r="F32" i="12"/>
  <c r="D33" i="12"/>
  <c r="C32" i="12"/>
  <c r="F82" i="11"/>
  <c r="E42" i="11"/>
  <c r="E32" i="12"/>
  <c r="F42" i="11"/>
  <c r="AJ6" i="9"/>
  <c r="E77" i="11"/>
  <c r="B37" i="11"/>
  <c r="G37" i="11"/>
  <c r="E37" i="11"/>
  <c r="D38" i="11"/>
  <c r="F39" i="11"/>
  <c r="F49" i="14"/>
  <c r="F50" i="14"/>
  <c r="B34" i="13"/>
  <c r="C34" i="13"/>
  <c r="F59" i="14"/>
  <c r="F25" i="13"/>
  <c r="AO46" i="9"/>
  <c r="G34" i="13"/>
  <c r="D38" i="12"/>
  <c r="F39" i="12"/>
  <c r="D48" i="11"/>
  <c r="F48" i="11"/>
  <c r="B37" i="12"/>
  <c r="E37" i="18"/>
  <c r="C47" i="11"/>
  <c r="C37" i="12"/>
  <c r="E63" i="14"/>
  <c r="C63" i="14"/>
  <c r="D78" i="18"/>
  <c r="F79" i="18"/>
  <c r="E87" i="11"/>
  <c r="F77" i="18"/>
  <c r="F37" i="18"/>
  <c r="D64" i="14"/>
  <c r="D65" i="14"/>
  <c r="D66" i="14"/>
  <c r="D67" i="14"/>
  <c r="F67" i="14"/>
  <c r="E77" i="18"/>
  <c r="C37" i="18"/>
  <c r="F34" i="13"/>
  <c r="E34" i="13"/>
  <c r="G37" i="18"/>
  <c r="F63" i="14"/>
  <c r="B77" i="18"/>
  <c r="AS46" i="9"/>
  <c r="AX46" i="9"/>
  <c r="AX33" i="9"/>
  <c r="EU33" i="2" s="1"/>
  <c r="AX6" i="9"/>
  <c r="AY6" i="9"/>
  <c r="AZ6" i="9"/>
  <c r="BZ32" i="9"/>
  <c r="BF28" i="9"/>
  <c r="BL28" i="9"/>
  <c r="BH36" i="9"/>
  <c r="BG34" i="9"/>
  <c r="N9" i="9"/>
  <c r="H25" i="9"/>
  <c r="I28" i="9"/>
  <c r="I42" i="9"/>
  <c r="BI32" i="9"/>
  <c r="BR9" i="9"/>
  <c r="BZ57" i="9"/>
  <c r="BH9" i="9"/>
  <c r="L45" i="9"/>
  <c r="J32" i="9"/>
  <c r="CA28" i="9"/>
  <c r="A32" i="9"/>
  <c r="BL32" i="9"/>
  <c r="BT32" i="9"/>
  <c r="CB28" i="9"/>
  <c r="BX42" i="9"/>
  <c r="CB19" i="9"/>
  <c r="BQ9" i="9"/>
  <c r="R69" i="9"/>
  <c r="BS37" i="9"/>
  <c r="BT45" i="9"/>
  <c r="BR28" i="9"/>
  <c r="BG28" i="9"/>
  <c r="BK28" i="9"/>
  <c r="BJ28" i="9"/>
  <c r="R58" i="9"/>
  <c r="BE58" i="9"/>
  <c r="CA23" i="9"/>
  <c r="Q11" i="9"/>
  <c r="DL11" i="2" s="1"/>
  <c r="BL45" i="9"/>
  <c r="BH28" i="9"/>
  <c r="N28" i="9"/>
  <c r="M28" i="9" s="1"/>
  <c r="BX28" i="9"/>
  <c r="R28" i="9"/>
  <c r="BQ28" i="9"/>
  <c r="BK57" i="9"/>
  <c r="A57" i="9"/>
  <c r="BE32" i="9"/>
  <c r="N36" i="9"/>
  <c r="CC20" i="9"/>
  <c r="N69" i="9"/>
  <c r="BF37" i="9"/>
  <c r="BR37" i="9"/>
  <c r="O32" i="9"/>
  <c r="BO32" i="9"/>
  <c r="L28" i="9"/>
  <c r="R32" i="9"/>
  <c r="D65" i="9"/>
  <c r="E65" i="9" s="1"/>
  <c r="BP58" i="9"/>
  <c r="BF42" i="9"/>
  <c r="J44" i="9"/>
  <c r="Q34" i="9"/>
  <c r="BG19" i="9"/>
  <c r="BW34" i="9"/>
  <c r="BL6" i="9"/>
  <c r="BU9" i="9"/>
  <c r="I44" i="9"/>
  <c r="P37" i="9"/>
  <c r="BG37" i="9"/>
  <c r="BM45" i="9"/>
  <c r="BK45" i="9"/>
  <c r="BQ32" i="9"/>
  <c r="N32" i="9"/>
  <c r="BW28" i="9"/>
  <c r="S28" i="9"/>
  <c r="S29" i="9"/>
  <c r="J66" i="9"/>
  <c r="P57" i="9"/>
  <c r="BM42" i="9"/>
  <c r="BR20" i="9"/>
  <c r="L20" i="9"/>
  <c r="P9" i="9"/>
  <c r="I38" i="9"/>
  <c r="J58" i="9"/>
  <c r="BI20" i="9"/>
  <c r="BK35" i="9"/>
  <c r="BY36" i="9"/>
  <c r="S35" i="9"/>
  <c r="BZ35" i="9"/>
  <c r="BR36" i="9"/>
  <c r="H30" i="9"/>
  <c r="P66" i="9"/>
  <c r="J57" i="9"/>
  <c r="BO57" i="9"/>
  <c r="BG38" i="9"/>
  <c r="R42" i="9"/>
  <c r="BI44" i="9"/>
  <c r="BP22" i="9"/>
  <c r="P20" i="9"/>
  <c r="P16" i="9"/>
  <c r="R36" i="9"/>
  <c r="O16" i="9"/>
  <c r="BL35" i="9"/>
  <c r="D35" i="9"/>
  <c r="E35" i="9" s="1"/>
  <c r="CA10" i="9"/>
  <c r="K63" i="9"/>
  <c r="BZ36" i="9"/>
  <c r="BJ42" i="9"/>
  <c r="D42" i="9"/>
  <c r="E42" i="9" s="1"/>
  <c r="BK20" i="9"/>
  <c r="BH20" i="9"/>
  <c r="BO36" i="9"/>
  <c r="BU35" i="9"/>
  <c r="BJ57" i="9"/>
  <c r="BQ35" i="9"/>
  <c r="O29" i="9"/>
  <c r="N31" i="9"/>
  <c r="I27" i="9"/>
  <c r="V58" i="9"/>
  <c r="DD58" i="2" s="1"/>
  <c r="GZ58" i="2" s="1"/>
  <c r="CB58" i="9"/>
  <c r="BN58" i="9"/>
  <c r="CB38" i="9"/>
  <c r="BS42" i="9"/>
  <c r="BY42" i="9"/>
  <c r="BM35" i="9"/>
  <c r="BS20" i="9"/>
  <c r="D20" i="9"/>
  <c r="E20" i="9" s="1"/>
  <c r="S16" i="9"/>
  <c r="BT36" i="9"/>
  <c r="BT35" i="9"/>
  <c r="BF35" i="9"/>
  <c r="BQ45" i="9"/>
  <c r="BF16" i="9"/>
  <c r="BH29" i="9"/>
  <c r="BX31" i="9"/>
  <c r="BK31" i="9"/>
  <c r="BM57" i="9"/>
  <c r="A58" i="9"/>
  <c r="BN57" i="9"/>
  <c r="CA42" i="9"/>
  <c r="BH42" i="9"/>
  <c r="A42" i="9"/>
  <c r="K40" i="9"/>
  <c r="DG34" i="2" s="1"/>
  <c r="BW35" i="9"/>
  <c r="BX10" i="9"/>
  <c r="N35" i="9"/>
  <c r="R35" i="9"/>
  <c r="BI23" i="9"/>
  <c r="J42" i="9"/>
  <c r="BQ16" i="9"/>
  <c r="D36" i="9"/>
  <c r="E36" i="9" s="1"/>
  <c r="O19" i="9"/>
  <c r="Q30" i="9"/>
  <c r="DL30" i="2" s="1"/>
  <c r="N13" i="9"/>
  <c r="CA30" i="9"/>
  <c r="O28" i="9"/>
  <c r="A28" i="9"/>
  <c r="P28" i="9"/>
  <c r="BZ45" i="9"/>
  <c r="BS58" i="9"/>
  <c r="A56" i="9"/>
  <c r="BO13" i="9"/>
  <c r="BE30" i="9"/>
  <c r="O10" i="9"/>
  <c r="G20" i="9"/>
  <c r="P67" i="9"/>
  <c r="L23" i="9"/>
  <c r="DH23" i="2" s="1"/>
  <c r="S13" i="9"/>
  <c r="I26" i="9"/>
  <c r="BG30" i="9"/>
  <c r="O13" i="9"/>
  <c r="BZ30" i="9"/>
  <c r="CC19" i="9"/>
  <c r="CB23" i="9"/>
  <c r="BJ13" i="9"/>
  <c r="P30" i="9"/>
  <c r="D28" i="9"/>
  <c r="E28" i="9" s="1"/>
  <c r="O30" i="9"/>
  <c r="H28" i="9"/>
  <c r="BQ58" i="9"/>
  <c r="G56" i="9"/>
  <c r="BO37" i="9"/>
  <c r="N45" i="9"/>
  <c r="BJ32" i="9"/>
  <c r="D30" i="9"/>
  <c r="E30" i="9" s="1"/>
  <c r="BP32" i="9"/>
  <c r="A30" i="9"/>
  <c r="BX32" i="9"/>
  <c r="L30" i="9"/>
  <c r="BO31" i="9"/>
  <c r="BM31" i="9"/>
  <c r="D25" i="9"/>
  <c r="E25" i="9" s="1"/>
  <c r="CC30" i="9"/>
  <c r="G31" i="9"/>
  <c r="Q28" i="9"/>
  <c r="BG41" i="9"/>
  <c r="G59" i="9"/>
  <c r="A59" i="9"/>
  <c r="BW57" i="9"/>
  <c r="BT37" i="9"/>
  <c r="S20" i="9"/>
  <c r="DN20" i="2" s="1"/>
  <c r="BY20" i="9"/>
  <c r="BT16" i="9"/>
  <c r="BF36" i="9"/>
  <c r="BM23" i="9"/>
  <c r="BW16" i="9"/>
  <c r="BV24" i="9"/>
  <c r="J28" i="9"/>
  <c r="S57" i="9"/>
  <c r="P36" i="9"/>
  <c r="BM22" i="9"/>
  <c r="BZ13" i="9"/>
  <c r="A11" i="9"/>
  <c r="BZ28" i="9"/>
  <c r="BO28" i="9"/>
  <c r="BE28" i="9"/>
  <c r="BU28" i="9"/>
  <c r="CC28" i="9"/>
  <c r="BY28" i="9"/>
  <c r="Q66" i="9"/>
  <c r="BG58" i="9"/>
  <c r="A64" i="9"/>
  <c r="CB30" i="9"/>
  <c r="N19" i="9"/>
  <c r="BS14" i="9"/>
  <c r="BO19" i="9"/>
  <c r="J19" i="9"/>
  <c r="G45" i="9"/>
  <c r="L10" i="9"/>
  <c r="BI19" i="9"/>
  <c r="BO30" i="9"/>
  <c r="L46" i="9"/>
  <c r="BU40" i="9"/>
  <c r="BO10" i="9"/>
  <c r="BL34" i="9"/>
  <c r="BT27" i="9"/>
  <c r="R62" i="9"/>
  <c r="BY22" i="9"/>
  <c r="BL15" i="9"/>
  <c r="BP10" i="9"/>
  <c r="J26" i="9"/>
  <c r="BF10" i="9"/>
  <c r="BY34" i="9"/>
  <c r="H69" i="9"/>
  <c r="Q18" i="9"/>
  <c r="BZ15" i="9"/>
  <c r="BY10" i="9"/>
  <c r="BO27" i="9"/>
  <c r="X34" i="9"/>
  <c r="DF42" i="2" s="1"/>
  <c r="HB42" i="2" s="1"/>
  <c r="BF38" i="9"/>
  <c r="H38" i="9"/>
  <c r="CA34" i="9"/>
  <c r="BJ10" i="9"/>
  <c r="P34" i="9"/>
  <c r="L69" i="9"/>
  <c r="DH69" i="2" s="1"/>
  <c r="K41" i="9"/>
  <c r="BF18" i="9"/>
  <c r="CC18" i="9"/>
  <c r="BY40" i="9"/>
  <c r="P15" i="9"/>
  <c r="BP27" i="9"/>
  <c r="BN45" i="9"/>
  <c r="CC38" i="9"/>
  <c r="BL23" i="9"/>
  <c r="D34" i="9"/>
  <c r="E34" i="9" s="1"/>
  <c r="D69" i="9"/>
  <c r="E69" i="9" s="1"/>
  <c r="F39" i="14"/>
  <c r="C87" i="18"/>
  <c r="E59" i="13"/>
  <c r="F78" i="18"/>
  <c r="E33" i="14"/>
  <c r="D29" i="18"/>
  <c r="D30" i="18"/>
  <c r="F30" i="18"/>
  <c r="F29" i="18"/>
  <c r="G87" i="18"/>
  <c r="C59" i="13"/>
  <c r="F47" i="12"/>
  <c r="E47" i="12"/>
  <c r="D34" i="14"/>
  <c r="G34" i="14"/>
  <c r="C47" i="12"/>
  <c r="B47" i="18"/>
  <c r="B33" i="14"/>
  <c r="C33" i="14"/>
  <c r="D74" i="14"/>
  <c r="F74" i="14"/>
  <c r="C47" i="18"/>
  <c r="B59" i="13"/>
  <c r="G47" i="18"/>
  <c r="B87" i="18"/>
  <c r="D60" i="13"/>
  <c r="D61" i="13"/>
  <c r="D62" i="13"/>
  <c r="F62" i="13"/>
  <c r="D48" i="12"/>
  <c r="B73" i="14"/>
  <c r="G57" i="11"/>
  <c r="D80" i="14"/>
  <c r="D81" i="14"/>
  <c r="D82" i="14"/>
  <c r="F82" i="14"/>
  <c r="B47" i="12"/>
  <c r="G73" i="14"/>
  <c r="G33" i="14"/>
  <c r="E57" i="11"/>
  <c r="E73" i="14"/>
  <c r="C57" i="11"/>
  <c r="F73" i="14"/>
  <c r="D41" i="13"/>
  <c r="D42" i="13"/>
  <c r="D40" i="14"/>
  <c r="D41" i="14"/>
  <c r="D42" i="14"/>
  <c r="F42" i="14"/>
  <c r="AE6" i="9"/>
  <c r="F85" i="14"/>
  <c r="AF6" i="9"/>
  <c r="AT6" i="9"/>
  <c r="EQ6" i="2" s="1"/>
  <c r="G40" i="13"/>
  <c r="F69" i="11"/>
  <c r="D58" i="11"/>
  <c r="D59" i="11"/>
  <c r="D60" i="11"/>
  <c r="AK6" i="9"/>
  <c r="G44" i="14"/>
  <c r="D34" i="18"/>
  <c r="D35" i="18"/>
  <c r="F35" i="18"/>
  <c r="AO6" i="9"/>
  <c r="F34" i="18"/>
  <c r="AP6" i="9"/>
  <c r="AU6" i="9"/>
  <c r="F84" i="14"/>
  <c r="D15" i="10"/>
  <c r="BO42" i="9"/>
  <c r="CB42" i="9"/>
  <c r="BN42" i="9"/>
  <c r="BH44" i="9"/>
  <c r="BL43" i="9"/>
  <c r="G42" i="9"/>
  <c r="BJ44" i="9"/>
  <c r="P42" i="9"/>
  <c r="DK44" i="2" s="1"/>
  <c r="Q44" i="9"/>
  <c r="BX44" i="9"/>
  <c r="H44" i="9"/>
  <c r="BQ44" i="9"/>
  <c r="F87" i="18"/>
  <c r="BG44" i="9"/>
  <c r="E87" i="18"/>
  <c r="BN44" i="9"/>
  <c r="V26" i="9"/>
  <c r="G26" i="9"/>
  <c r="F22" i="12"/>
  <c r="D23" i="12"/>
  <c r="F23" i="12"/>
  <c r="AE25" i="9"/>
  <c r="R26" i="9"/>
  <c r="G22" i="12"/>
  <c r="Q25" i="9"/>
  <c r="BO25" i="9"/>
  <c r="K25" i="9"/>
  <c r="DG25" i="2" s="1"/>
  <c r="A26" i="9"/>
  <c r="R9" i="9"/>
  <c r="D9" i="9"/>
  <c r="BK10" i="9"/>
  <c r="D10" i="9"/>
  <c r="E10" i="9" s="1"/>
  <c r="BY11" i="9"/>
  <c r="D11" i="9"/>
  <c r="E11" i="9" s="1"/>
  <c r="BO53" i="9"/>
  <c r="D53" i="9"/>
  <c r="E53" i="9" s="1"/>
  <c r="A53" i="9"/>
  <c r="D15" i="3"/>
  <c r="I68" i="9"/>
  <c r="CB33" i="9"/>
  <c r="BO14" i="9"/>
  <c r="N24" i="9"/>
  <c r="S60" i="9"/>
  <c r="BN39" i="9"/>
  <c r="L29" i="9"/>
  <c r="BV29" i="9"/>
  <c r="BG21" i="9"/>
  <c r="BQ33" i="9"/>
  <c r="BE17" i="9"/>
  <c r="G22" i="9"/>
  <c r="BQ18" i="9"/>
  <c r="N15" i="9"/>
  <c r="BT9" i="9"/>
  <c r="BG39" i="9"/>
  <c r="H60" i="9"/>
  <c r="N33" i="9"/>
  <c r="DI33" i="2" s="1"/>
  <c r="BZ58" i="9"/>
  <c r="BR34" i="9"/>
  <c r="R22" i="9"/>
  <c r="DM22" i="2" s="1"/>
  <c r="BS18" i="9"/>
  <c r="S15" i="9"/>
  <c r="BK33" i="9"/>
  <c r="BR39" i="9"/>
  <c r="BX29" i="9"/>
  <c r="G29" i="9"/>
  <c r="V33" i="9"/>
  <c r="N68" i="9"/>
  <c r="O56" i="9"/>
  <c r="CB15" i="9"/>
  <c r="N34" i="9"/>
  <c r="BV19" i="9"/>
  <c r="P24" i="9"/>
  <c r="K27" i="9"/>
  <c r="G7" i="9"/>
  <c r="J64" i="9"/>
  <c r="BH37" i="9"/>
  <c r="BN22" i="9"/>
  <c r="BW18" i="9"/>
  <c r="BX15" i="9"/>
  <c r="R11" i="9"/>
  <c r="DM11" i="2" s="1"/>
  <c r="A15" i="9"/>
  <c r="D22" i="9"/>
  <c r="E22" i="9" s="1"/>
  <c r="K68" i="9"/>
  <c r="DG68" i="2" s="1"/>
  <c r="CB39" i="9"/>
  <c r="H56" i="9"/>
  <c r="CA21" i="9"/>
  <c r="BR14" i="9"/>
  <c r="H7" i="9"/>
  <c r="BO11" i="9"/>
  <c r="R25" i="9"/>
  <c r="BG31" i="9"/>
  <c r="R27" i="9"/>
  <c r="BN28" i="9"/>
  <c r="BV31" i="9"/>
  <c r="BW27" i="9"/>
  <c r="BT28" i="9"/>
  <c r="CC29" i="9"/>
  <c r="BI28" i="9"/>
  <c r="K69" i="9"/>
  <c r="DG69" i="2" s="1"/>
  <c r="BV58" i="9"/>
  <c r="BK58" i="9"/>
  <c r="Q58" i="9"/>
  <c r="G64" i="9"/>
  <c r="K42" i="9"/>
  <c r="BL56" i="9"/>
  <c r="CC42" i="9"/>
  <c r="BP42" i="9"/>
  <c r="N44" i="9"/>
  <c r="BU42" i="9"/>
  <c r="BU21" i="9"/>
  <c r="K35" i="9"/>
  <c r="BI35" i="9"/>
  <c r="BI15" i="9"/>
  <c r="A36" i="9"/>
  <c r="G35" i="9"/>
  <c r="BX20" i="9"/>
  <c r="CA11" i="9"/>
  <c r="BG35" i="9"/>
  <c r="I35" i="9"/>
  <c r="K11" i="9"/>
  <c r="DG11" i="2" s="1"/>
  <c r="D7" i="9"/>
  <c r="BM28" i="9"/>
  <c r="I69" i="9"/>
  <c r="H45" i="9"/>
  <c r="BL42" i="9"/>
  <c r="Q36" i="9"/>
  <c r="R14" i="9"/>
  <c r="R21" i="9"/>
  <c r="DM21" i="2" s="1"/>
  <c r="BT14" i="9"/>
  <c r="BS39" i="9"/>
  <c r="BO39" i="9"/>
  <c r="BE39" i="9"/>
  <c r="AI33" i="9"/>
  <c r="D29" i="9"/>
  <c r="BO29" i="9"/>
  <c r="BL29" i="9"/>
  <c r="A68" i="9"/>
  <c r="L64" i="9"/>
  <c r="DH63" i="2" s="1"/>
  <c r="BJ14" i="9"/>
  <c r="BZ33" i="9"/>
  <c r="BE24" i="9"/>
  <c r="P7" i="9"/>
  <c r="BU33" i="9"/>
  <c r="BY39" i="9"/>
  <c r="BF39" i="9"/>
  <c r="BW39" i="9"/>
  <c r="P39" i="9"/>
  <c r="BM39" i="9"/>
  <c r="BT44" i="9"/>
  <c r="BF44" i="9"/>
  <c r="K65" i="9"/>
  <c r="BM48" i="9"/>
  <c r="N48" i="9"/>
  <c r="N30" i="9"/>
  <c r="BZ29" i="9"/>
  <c r="BY29" i="9"/>
  <c r="BF29" i="9"/>
  <c r="G25" i="9"/>
  <c r="S30" i="9"/>
  <c r="BT30" i="9"/>
  <c r="BT29" i="9"/>
  <c r="I43" i="9"/>
  <c r="CC57" i="9"/>
  <c r="Q57" i="9"/>
  <c r="L68" i="9"/>
  <c r="D64" i="9"/>
  <c r="BE57" i="9"/>
  <c r="BQ56" i="9"/>
  <c r="K56" i="9"/>
  <c r="BO56" i="9"/>
  <c r="BR44" i="9"/>
  <c r="BS44" i="9"/>
  <c r="BT56" i="9"/>
  <c r="D40" i="9"/>
  <c r="BW36" i="9"/>
  <c r="J30" i="9"/>
  <c r="P14" i="9"/>
  <c r="BU36" i="9"/>
  <c r="BG33" i="9"/>
  <c r="BM36" i="9"/>
  <c r="BU11" i="9"/>
  <c r="J9" i="9"/>
  <c r="BO24" i="9"/>
  <c r="S9" i="9"/>
  <c r="DN9" i="2" s="1"/>
  <c r="BF7" i="9"/>
  <c r="S56" i="9"/>
  <c r="R44" i="9"/>
  <c r="DM39" i="2" s="1"/>
  <c r="CA36" i="9"/>
  <c r="BJ30" i="9"/>
  <c r="L22" i="9"/>
  <c r="I18" i="9"/>
  <c r="BV18" i="9"/>
  <c r="BV16" i="9"/>
  <c r="G14" i="9"/>
  <c r="CA14" i="9"/>
  <c r="BF11" i="9"/>
  <c r="BO9" i="9"/>
  <c r="BP43" i="9"/>
  <c r="CA39" i="9"/>
  <c r="Q60" i="9"/>
  <c r="DL60" i="2" s="1"/>
  <c r="N21" i="9"/>
  <c r="S7" i="9"/>
  <c r="BU14" i="9"/>
  <c r="BK39" i="9"/>
  <c r="BU39" i="9"/>
  <c r="Q39" i="9"/>
  <c r="J39" i="9"/>
  <c r="D39" i="9"/>
  <c r="E39" i="9" s="1"/>
  <c r="N39" i="9"/>
  <c r="BL44" i="9"/>
  <c r="P44" i="9"/>
  <c r="BE48" i="9"/>
  <c r="BQ48" i="9"/>
  <c r="BN30" i="9"/>
  <c r="BQ29" i="9"/>
  <c r="BY25" i="9"/>
  <c r="BG29" i="9"/>
  <c r="BX25" i="9"/>
  <c r="K29" i="9"/>
  <c r="BV25" i="9"/>
  <c r="I30" i="9"/>
  <c r="R30" i="9"/>
  <c r="CB29" i="9"/>
  <c r="J60" i="9"/>
  <c r="S43" i="9"/>
  <c r="BT57" i="9"/>
  <c r="BG57" i="9"/>
  <c r="D68" i="9"/>
  <c r="E68" i="9" s="1"/>
  <c r="N64" i="9"/>
  <c r="N57" i="9"/>
  <c r="BZ56" i="9"/>
  <c r="BV56" i="9"/>
  <c r="BW56" i="9"/>
  <c r="CC44" i="9"/>
  <c r="G44" i="9"/>
  <c r="CB44" i="9"/>
  <c r="L56" i="9"/>
  <c r="O18" i="9"/>
  <c r="BO40" i="9"/>
  <c r="I36" i="9"/>
  <c r="D21" i="9"/>
  <c r="E21" i="9" s="1"/>
  <c r="N14" i="9"/>
  <c r="BE36" i="9"/>
  <c r="L36" i="9"/>
  <c r="D33" i="9"/>
  <c r="E33" i="9" s="1"/>
  <c r="BO21" i="9"/>
  <c r="O36" i="9"/>
  <c r="CC11" i="9"/>
  <c r="BZ7" i="9"/>
  <c r="A24" i="9"/>
  <c r="BO7" i="9"/>
  <c r="H64" i="9"/>
  <c r="O60" i="9"/>
  <c r="BE56" i="9"/>
  <c r="BE44" i="9"/>
  <c r="BM30" i="9"/>
  <c r="L18" i="9"/>
  <c r="CA18" i="9"/>
  <c r="Q14" i="9"/>
  <c r="BL11" i="9"/>
  <c r="K26" i="9"/>
  <c r="BM29" i="9"/>
  <c r="H39" i="9"/>
  <c r="BV39" i="9"/>
  <c r="BH39" i="9"/>
  <c r="BQ39" i="9"/>
  <c r="BL39" i="9"/>
  <c r="BU43" i="9"/>
  <c r="BS29" i="9"/>
  <c r="R60" i="9"/>
  <c r="BJ56" i="9"/>
  <c r="N56" i="9"/>
  <c r="BO33" i="9"/>
  <c r="BW14" i="9"/>
  <c r="BI14" i="9"/>
  <c r="BR24" i="9"/>
  <c r="BQ24" i="9"/>
  <c r="BE14" i="9"/>
  <c r="BT39" i="9"/>
  <c r="I39" i="9"/>
  <c r="BP39" i="9"/>
  <c r="O39" i="9"/>
  <c r="L39" i="9"/>
  <c r="DH40" i="2" s="1"/>
  <c r="BM43" i="9"/>
  <c r="Q65" i="9"/>
  <c r="G48" i="9"/>
  <c r="BP48" i="9"/>
  <c r="BR30" i="9"/>
  <c r="BR29" i="9"/>
  <c r="BY30" i="9"/>
  <c r="R29" i="9"/>
  <c r="BK29" i="9"/>
  <c r="CB25" i="9"/>
  <c r="BJ29" i="9"/>
  <c r="R68" i="9"/>
  <c r="BQ57" i="9"/>
  <c r="Q68" i="9"/>
  <c r="K60" i="9"/>
  <c r="G43" i="9"/>
  <c r="BS56" i="9"/>
  <c r="BP56" i="9"/>
  <c r="BP44" i="9"/>
  <c r="BZ44" i="9"/>
  <c r="A21" i="9"/>
  <c r="O40" i="9"/>
  <c r="BX30" i="9"/>
  <c r="BG36" i="9"/>
  <c r="BX36" i="9"/>
  <c r="BM33" i="9"/>
  <c r="BV33" i="9"/>
  <c r="O14" i="9"/>
  <c r="BL21" i="9"/>
  <c r="S14" i="9"/>
  <c r="CA24" i="9"/>
  <c r="BQ8" i="9"/>
  <c r="BN8" i="9"/>
  <c r="O64" i="9"/>
  <c r="BV44" i="9"/>
  <c r="BJ36" i="9"/>
  <c r="P33" i="9"/>
  <c r="DK33" i="2" s="1"/>
  <c r="BI18" i="9"/>
  <c r="BS17" i="9"/>
  <c r="BN14" i="9"/>
  <c r="CA29" i="9"/>
  <c r="N29" i="9"/>
  <c r="BU29" i="9"/>
  <c r="H68" i="9"/>
  <c r="P64" i="9"/>
  <c r="DK63" i="2" s="1"/>
  <c r="P21" i="9"/>
  <c r="CA33" i="9"/>
  <c r="BN33" i="9"/>
  <c r="BM14" i="9"/>
  <c r="O7" i="9"/>
  <c r="K64" i="9"/>
  <c r="I33" i="9"/>
  <c r="BV11" i="9"/>
  <c r="AD33" i="9"/>
  <c r="BI39" i="9"/>
  <c r="R39" i="9"/>
  <c r="BX39" i="9"/>
  <c r="CH39" i="9"/>
  <c r="A39" i="9"/>
  <c r="P65" i="9"/>
  <c r="BK48" i="9"/>
  <c r="BH48" i="9"/>
  <c r="BI30" i="9"/>
  <c r="BI29" i="9"/>
  <c r="BR25" i="9"/>
  <c r="BH30" i="9"/>
  <c r="BP30" i="9"/>
  <c r="H29" i="9"/>
  <c r="BU25" i="9"/>
  <c r="Q29" i="9"/>
  <c r="A25" i="9"/>
  <c r="P29" i="9"/>
  <c r="BV57" i="9"/>
  <c r="O68" i="9"/>
  <c r="BH57" i="9"/>
  <c r="S64" i="9"/>
  <c r="BN56" i="9"/>
  <c r="J56" i="9"/>
  <c r="BY56" i="9"/>
  <c r="CA44" i="9"/>
  <c r="D44" i="9"/>
  <c r="E44" i="9" s="1"/>
  <c r="BM21" i="9"/>
  <c r="BI40" i="9"/>
  <c r="BR33" i="9"/>
  <c r="BV36" i="9"/>
  <c r="G30" i="9"/>
  <c r="CB14" i="9"/>
  <c r="BP36" i="9"/>
  <c r="BL36" i="9"/>
  <c r="R33" i="9"/>
  <c r="BW30" i="9"/>
  <c r="BQ17" i="9"/>
  <c r="A14" i="9"/>
  <c r="S21" i="9"/>
  <c r="BW11" i="9"/>
  <c r="BL7" i="9"/>
  <c r="R64" i="9"/>
  <c r="R40" i="9"/>
  <c r="BQ36" i="9"/>
  <c r="BE33" i="9"/>
  <c r="CA22" i="9"/>
  <c r="BJ18" i="9"/>
  <c r="BN15" i="9"/>
  <c r="N11" i="9"/>
  <c r="H26" i="9"/>
  <c r="U33" i="9"/>
  <c r="BH56" i="9"/>
  <c r="BU56" i="9"/>
  <c r="BF8" i="9"/>
  <c r="BK40" i="9"/>
  <c r="BY8" i="9"/>
  <c r="D12" i="9"/>
  <c r="E12" i="9" s="1"/>
  <c r="BW12" i="9"/>
  <c r="BT19" i="9"/>
  <c r="BX19" i="9"/>
  <c r="H19" i="9"/>
  <c r="I19" i="9"/>
  <c r="BW19" i="9"/>
  <c r="R19" i="9"/>
  <c r="DM19" i="2" s="1"/>
  <c r="BR19" i="9"/>
  <c r="BS19" i="9"/>
  <c r="BX27" i="9"/>
  <c r="CB27" i="9"/>
  <c r="BK27" i="9"/>
  <c r="BM27" i="9"/>
  <c r="BJ27" i="9"/>
  <c r="BS34" i="9"/>
  <c r="G34" i="9"/>
  <c r="BZ34" i="9"/>
  <c r="J34" i="9"/>
  <c r="BM34" i="9"/>
  <c r="BI34" i="9"/>
  <c r="R34" i="9"/>
  <c r="DM42" i="2" s="1"/>
  <c r="BF34" i="9"/>
  <c r="A34" i="9"/>
  <c r="K34" i="9"/>
  <c r="CC34" i="9"/>
  <c r="U34" i="9"/>
  <c r="BQ41" i="9"/>
  <c r="R41" i="9"/>
  <c r="BF41" i="9"/>
  <c r="BR41" i="9"/>
  <c r="O41" i="9"/>
  <c r="DJ35" i="2" s="1"/>
  <c r="CB49" i="9"/>
  <c r="BV49" i="9"/>
  <c r="BX37" i="9"/>
  <c r="D37" i="9"/>
  <c r="BE45" i="9"/>
  <c r="D45" i="9"/>
  <c r="E45" i="9" s="1"/>
  <c r="CA45" i="9"/>
  <c r="H65" i="9"/>
  <c r="H48" i="9"/>
  <c r="BJ48" i="9"/>
  <c r="K49" i="9"/>
  <c r="BO49" i="9"/>
  <c r="BR27" i="9"/>
  <c r="BF25" i="9"/>
  <c r="BE25" i="9"/>
  <c r="BT25" i="9"/>
  <c r="CA25" i="9"/>
  <c r="G66" i="9"/>
  <c r="BM58" i="9"/>
  <c r="G58" i="9"/>
  <c r="BY58" i="9"/>
  <c r="N58" i="9"/>
  <c r="K58" i="9"/>
  <c r="BY19" i="9"/>
  <c r="I40" i="9"/>
  <c r="BS40" i="9"/>
  <c r="BS15" i="9"/>
  <c r="BT34" i="9"/>
  <c r="BU34" i="9"/>
  <c r="BV15" i="9"/>
  <c r="BO8" i="9"/>
  <c r="L8" i="9"/>
  <c r="BK8" i="9"/>
  <c r="BU27" i="9"/>
  <c r="BW9" i="9"/>
  <c r="L58" i="9"/>
  <c r="S48" i="9"/>
  <c r="BV45" i="9"/>
  <c r="L41" i="9"/>
  <c r="BF22" i="9"/>
  <c r="BX22" i="9"/>
  <c r="I15" i="9"/>
  <c r="BU15" i="9"/>
  <c r="D6" i="9"/>
  <c r="E6" i="9" s="1"/>
  <c r="Q6" i="9"/>
  <c r="BV13" i="9"/>
  <c r="BT13" i="9"/>
  <c r="I13" i="9"/>
  <c r="BU20" i="9"/>
  <c r="I20" i="9"/>
  <c r="A20" i="9"/>
  <c r="BQ20" i="9"/>
  <c r="J20" i="9"/>
  <c r="BF20" i="9"/>
  <c r="BP20" i="9"/>
  <c r="J63" i="9"/>
  <c r="L63" i="9"/>
  <c r="A63" i="9"/>
  <c r="O25" i="9"/>
  <c r="N25" i="9"/>
  <c r="BL25" i="9"/>
  <c r="BS25" i="9"/>
  <c r="J61" i="9"/>
  <c r="BR40" i="9"/>
  <c r="BF40" i="9"/>
  <c r="BW40" i="9"/>
  <c r="BJ15" i="9"/>
  <c r="BE34" i="9"/>
  <c r="BO34" i="9"/>
  <c r="BM15" i="9"/>
  <c r="D27" i="9"/>
  <c r="E27" i="9" s="1"/>
  <c r="A27" i="9"/>
  <c r="I9" i="9"/>
  <c r="L62" i="9"/>
  <c r="BV48" i="9"/>
  <c r="BK41" i="9"/>
  <c r="K15" i="9"/>
  <c r="BL13" i="9"/>
  <c r="BN29" i="9"/>
  <c r="J29" i="9"/>
  <c r="BP29" i="9"/>
  <c r="A29" i="9"/>
  <c r="D43" i="9"/>
  <c r="E43" i="9" s="1"/>
  <c r="H43" i="9"/>
  <c r="BW43" i="9"/>
  <c r="CA56" i="9"/>
  <c r="BR56" i="9"/>
  <c r="P56" i="9"/>
  <c r="DK56" i="2" s="1"/>
  <c r="BM56" i="9"/>
  <c r="R56" i="9"/>
  <c r="I56" i="9"/>
  <c r="BX56" i="9"/>
  <c r="BF56" i="9"/>
  <c r="CB56" i="9"/>
  <c r="D56" i="9"/>
  <c r="E56" i="9" s="1"/>
  <c r="CC8" i="9"/>
  <c r="J8" i="9"/>
  <c r="S65" i="9"/>
  <c r="A65" i="9"/>
  <c r="BT41" i="9"/>
  <c r="L12" i="9"/>
  <c r="BG9" i="9"/>
  <c r="BK9" i="9"/>
  <c r="K9" i="9"/>
  <c r="BY9" i="9"/>
  <c r="BN9" i="9"/>
  <c r="BM9" i="9"/>
  <c r="BP15" i="9"/>
  <c r="R15" i="9"/>
  <c r="BH15" i="9"/>
  <c r="Q15" i="9"/>
  <c r="CC15" i="9"/>
  <c r="BK15" i="9"/>
  <c r="G15" i="9"/>
  <c r="BO15" i="9"/>
  <c r="L15" i="9"/>
  <c r="BR15" i="9"/>
  <c r="H15" i="9"/>
  <c r="BW22" i="9"/>
  <c r="BT22" i="9"/>
  <c r="S22" i="9"/>
  <c r="BR22" i="9"/>
  <c r="N22" i="9"/>
  <c r="BZ22" i="9"/>
  <c r="BG22" i="9"/>
  <c r="Q45" i="9"/>
  <c r="BY45" i="9"/>
  <c r="I45" i="9"/>
  <c r="BJ45" i="9"/>
  <c r="BU58" i="9"/>
  <c r="BI58" i="9"/>
  <c r="I58" i="9"/>
  <c r="BO58" i="9"/>
  <c r="BJ58" i="9"/>
  <c r="CC58" i="9"/>
  <c r="H61" i="9"/>
  <c r="A61" i="9"/>
  <c r="BJ40" i="9"/>
  <c r="BG40" i="9"/>
  <c r="L40" i="9"/>
  <c r="BJ8" i="9"/>
  <c r="K61" i="9"/>
  <c r="DG64" i="2" s="1"/>
  <c r="K19" i="9"/>
  <c r="BZ37" i="9"/>
  <c r="A37" i="9"/>
  <c r="Q37" i="9"/>
  <c r="CB37" i="9"/>
  <c r="CA37" i="9"/>
  <c r="CB45" i="9"/>
  <c r="A45" i="9"/>
  <c r="L65" i="9"/>
  <c r="I48" i="9"/>
  <c r="CA48" i="9"/>
  <c r="R49" i="9"/>
  <c r="BU49" i="9"/>
  <c r="BJ25" i="9"/>
  <c r="I25" i="9"/>
  <c r="BP25" i="9"/>
  <c r="BG25" i="9"/>
  <c r="BG27" i="9"/>
  <c r="BO45" i="9"/>
  <c r="S66" i="9"/>
  <c r="P58" i="9"/>
  <c r="Q61" i="9"/>
  <c r="O22" i="9"/>
  <c r="BJ19" i="9"/>
  <c r="H40" i="9"/>
  <c r="BQ40" i="9"/>
  <c r="BE40" i="9"/>
  <c r="CB34" i="9"/>
  <c r="O20" i="9"/>
  <c r="BK34" i="9"/>
  <c r="N20" i="9"/>
  <c r="BQ15" i="9"/>
  <c r="BO20" i="9"/>
  <c r="O15" i="9"/>
  <c r="DJ15" i="2" s="1"/>
  <c r="BQ34" i="9"/>
  <c r="BH34" i="9"/>
  <c r="N40" i="9"/>
  <c r="BJ20" i="9"/>
  <c r="BT6" i="9"/>
  <c r="CC27" i="9"/>
  <c r="BP9" i="9"/>
  <c r="CA9" i="9"/>
  <c r="Q9" i="9"/>
  <c r="N61" i="9"/>
  <c r="K45" i="9"/>
  <c r="BX41" i="9"/>
  <c r="BM37" i="9"/>
  <c r="I22" i="9"/>
  <c r="BO22" i="9"/>
  <c r="BU19" i="9"/>
  <c r="BF15" i="9"/>
  <c r="CA15" i="9"/>
  <c r="BN32" i="9"/>
  <c r="G32" i="9"/>
  <c r="K32" i="9"/>
  <c r="BK32" i="9"/>
  <c r="BH32" i="9"/>
  <c r="Q38" i="9"/>
  <c r="DL38" i="2" s="1"/>
  <c r="BU38" i="9"/>
  <c r="CA38" i="9"/>
  <c r="L59" i="9"/>
  <c r="J59" i="9"/>
  <c r="I59" i="9"/>
  <c r="S25" i="9"/>
  <c r="DN25" i="2" s="1"/>
  <c r="BH25" i="9"/>
  <c r="R45" i="9"/>
  <c r="DM45" i="2" s="1"/>
  <c r="BT58" i="9"/>
  <c r="H58" i="9"/>
  <c r="BW58" i="9"/>
  <c r="BN34" i="9"/>
  <c r="P19" i="9"/>
  <c r="S40" i="9"/>
  <c r="DN34" i="2" s="1"/>
  <c r="CA40" i="9"/>
  <c r="O34" i="9"/>
  <c r="DJ42" i="2" s="1"/>
  <c r="BZ19" i="9"/>
  <c r="BY15" i="9"/>
  <c r="D15" i="9"/>
  <c r="E15" i="9" s="1"/>
  <c r="I34" i="9"/>
  <c r="BP34" i="9"/>
  <c r="BZ9" i="9"/>
  <c r="S27" i="9"/>
  <c r="BS27" i="9"/>
  <c r="A9" i="9"/>
  <c r="BJ9" i="9"/>
  <c r="O8" i="9"/>
  <c r="BF45" i="9"/>
  <c r="BW41" i="9"/>
  <c r="BV34" i="9"/>
  <c r="K22" i="9"/>
  <c r="BU22" i="9"/>
  <c r="CA19" i="9"/>
  <c r="BG15" i="9"/>
  <c r="CB24" i="9"/>
  <c r="BT24" i="9"/>
  <c r="H24" i="9"/>
  <c r="BJ24" i="9"/>
  <c r="BX24" i="9"/>
  <c r="P68" i="9"/>
  <c r="DK68" i="2" s="1"/>
  <c r="J68" i="9"/>
  <c r="G68" i="9"/>
  <c r="BZ25" i="9"/>
  <c r="BK25" i="9"/>
  <c r="CC25" i="9"/>
  <c r="BN25" i="9"/>
  <c r="BI25" i="9"/>
  <c r="J25" i="9"/>
  <c r="G40" i="9"/>
  <c r="CC40" i="9"/>
  <c r="J40" i="9"/>
  <c r="BZ40" i="9"/>
  <c r="BT40" i="9"/>
  <c r="CB40" i="9"/>
  <c r="BN40" i="9"/>
  <c r="BP40" i="9"/>
  <c r="P40" i="9"/>
  <c r="J48" i="9"/>
  <c r="D48" i="9"/>
  <c r="E48" i="9" s="1"/>
  <c r="P48" i="9"/>
  <c r="R48" i="9"/>
  <c r="G61" i="9"/>
  <c r="R61" i="9"/>
  <c r="P61" i="9"/>
  <c r="DK64" i="2" s="1"/>
  <c r="BF30" i="9"/>
  <c r="BQ30" i="9"/>
  <c r="BU30" i="9"/>
  <c r="BK30" i="9"/>
  <c r="BG18" i="9"/>
  <c r="BI36" i="9"/>
  <c r="X33" i="9"/>
  <c r="BS36" i="9"/>
  <c r="BK36" i="9"/>
  <c r="CE36" i="9"/>
  <c r="CB36" i="9"/>
  <c r="BI11" i="9"/>
  <c r="P11" i="9"/>
  <c r="K30" i="9"/>
  <c r="DG30" i="2" s="1"/>
  <c r="BH7" i="9"/>
  <c r="BK7" i="9"/>
  <c r="BZ14" i="9"/>
  <c r="L14" i="9"/>
  <c r="I14" i="9"/>
  <c r="D14" i="9"/>
  <c r="E14" i="9" s="1"/>
  <c r="BS21" i="9"/>
  <c r="BI21" i="9"/>
  <c r="BS35" i="9"/>
  <c r="X35" i="9"/>
  <c r="L35" i="9"/>
  <c r="A35" i="9"/>
  <c r="CB35" i="9"/>
  <c r="BQ42" i="9"/>
  <c r="BG42" i="9"/>
  <c r="H42" i="9"/>
  <c r="BK42" i="9"/>
  <c r="BR42" i="9"/>
  <c r="BN36" i="9"/>
  <c r="K36" i="9"/>
  <c r="H36" i="9"/>
  <c r="G36" i="9"/>
  <c r="J36" i="9"/>
  <c r="CC36" i="9"/>
  <c r="BQ11" i="9"/>
  <c r="BK11" i="9"/>
  <c r="BR11" i="9"/>
  <c r="BT18" i="9"/>
  <c r="N18" i="9"/>
  <c r="BO18" i="9"/>
  <c r="BI33" i="9"/>
  <c r="BP33" i="9"/>
  <c r="G33" i="9"/>
  <c r="L60" i="9"/>
  <c r="A60" i="9"/>
  <c r="G60" i="9"/>
  <c r="A67" i="9"/>
  <c r="R67" i="9"/>
  <c r="L26" i="9"/>
  <c r="BJ31" i="9"/>
  <c r="BR31" i="9"/>
  <c r="L31" i="9"/>
  <c r="BF31" i="9"/>
  <c r="S31" i="9"/>
  <c r="H31" i="9"/>
  <c r="P31" i="9"/>
  <c r="BV43" i="9"/>
  <c r="BP12" i="9"/>
  <c r="L21" i="9"/>
  <c r="BQ21" i="9"/>
  <c r="BY21" i="9"/>
  <c r="Q10" i="9"/>
  <c r="P17" i="9"/>
  <c r="BQ6" i="9"/>
  <c r="BY23" i="9"/>
  <c r="BS10" i="9"/>
  <c r="I10" i="9"/>
  <c r="N66" i="9"/>
  <c r="H59" i="9"/>
  <c r="L43" i="9"/>
  <c r="BR43" i="9"/>
  <c r="O23" i="9"/>
  <c r="BO23" i="9"/>
  <c r="I17" i="9"/>
  <c r="CA17" i="9"/>
  <c r="Q12" i="9"/>
  <c r="BX12" i="9"/>
  <c r="R10" i="9"/>
  <c r="BI6" i="9"/>
  <c r="BI8" i="9"/>
  <c r="S8" i="9"/>
  <c r="K8" i="9"/>
  <c r="DG8" i="2" s="1"/>
  <c r="BE8" i="9"/>
  <c r="BV8" i="9"/>
  <c r="D13" i="9"/>
  <c r="CB13" i="9"/>
  <c r="BR13" i="9"/>
  <c r="BH13" i="9"/>
  <c r="J13" i="9"/>
  <c r="BW13" i="9"/>
  <c r="BS13" i="9"/>
  <c r="BE13" i="9"/>
  <c r="H13" i="9"/>
  <c r="BL19" i="9"/>
  <c r="BK19" i="9"/>
  <c r="S19" i="9"/>
  <c r="L19" i="9"/>
  <c r="BH19" i="9"/>
  <c r="BQ19" i="9"/>
  <c r="BS33" i="9"/>
  <c r="BT33" i="9"/>
  <c r="K33" i="9"/>
  <c r="BL33" i="9"/>
  <c r="BY33" i="9"/>
  <c r="A33" i="9"/>
  <c r="CC33" i="9"/>
  <c r="J38" i="9"/>
  <c r="BV38" i="9"/>
  <c r="BK44" i="9"/>
  <c r="BU44" i="9"/>
  <c r="K44" i="9"/>
  <c r="BU57" i="9"/>
  <c r="CA57" i="9"/>
  <c r="BY57" i="9"/>
  <c r="CD57" i="9" s="1"/>
  <c r="GA57" i="2" s="1"/>
  <c r="O31" i="9"/>
  <c r="BH31" i="9"/>
  <c r="K31" i="9"/>
  <c r="I31" i="9"/>
  <c r="BI31" i="9"/>
  <c r="CC43" i="9"/>
  <c r="K59" i="9"/>
  <c r="BH12" i="9"/>
  <c r="BE21" i="9"/>
  <c r="O21" i="9"/>
  <c r="D19" i="9"/>
  <c r="BP21" i="9"/>
  <c r="BP19" i="9"/>
  <c r="G10" i="9"/>
  <c r="BH33" i="9"/>
  <c r="BF33" i="9"/>
  <c r="BV23" i="9"/>
  <c r="D17" i="9"/>
  <c r="E17" i="9" s="1"/>
  <c r="BH6" i="9"/>
  <c r="BV32" i="9"/>
  <c r="BM19" i="9"/>
  <c r="J33" i="9"/>
  <c r="G19" i="9"/>
  <c r="J10" i="9"/>
  <c r="CC6" i="9"/>
  <c r="H8" i="9"/>
  <c r="BM24" i="9"/>
  <c r="BH24" i="9"/>
  <c r="G8" i="9"/>
  <c r="BG7" i="9"/>
  <c r="A7" i="9"/>
  <c r="Q69" i="9"/>
  <c r="DL69" i="2" s="1"/>
  <c r="I63" i="9"/>
  <c r="O57" i="9"/>
  <c r="BI56" i="9"/>
  <c r="BM44" i="9"/>
  <c r="N43" i="9"/>
  <c r="BY43" i="9"/>
  <c r="J41" i="9"/>
  <c r="R37" i="9"/>
  <c r="DM37" i="2" s="1"/>
  <c r="BJ33" i="9"/>
  <c r="Q23" i="9"/>
  <c r="BT23" i="9"/>
  <c r="J22" i="9"/>
  <c r="BI22" i="9"/>
  <c r="L17" i="9"/>
  <c r="CB17" i="9"/>
  <c r="L13" i="9"/>
  <c r="DH13" i="2" s="1"/>
  <c r="BK13" i="9"/>
  <c r="BX13" i="9"/>
  <c r="BF12" i="9"/>
  <c r="I11" i="9"/>
  <c r="BM6" i="9"/>
  <c r="CB9" i="9"/>
  <c r="L9" i="9"/>
  <c r="CC9" i="9"/>
  <c r="BV9" i="9"/>
  <c r="BI9" i="9"/>
  <c r="BL9" i="9"/>
  <c r="H9" i="9"/>
  <c r="BS9" i="9"/>
  <c r="O9" i="9"/>
  <c r="G9" i="9"/>
  <c r="BX9" i="9"/>
  <c r="CC14" i="9"/>
  <c r="BQ14" i="9"/>
  <c r="K14" i="9"/>
  <c r="BV14" i="9"/>
  <c r="BH14" i="9"/>
  <c r="BG14" i="9"/>
  <c r="H20" i="9"/>
  <c r="BV20" i="9"/>
  <c r="BT20" i="9"/>
  <c r="BG20" i="9"/>
  <c r="CA20" i="9"/>
  <c r="CB20" i="9"/>
  <c r="BR45" i="9"/>
  <c r="CC45" i="9"/>
  <c r="BG45" i="9"/>
  <c r="BH45" i="9"/>
  <c r="BX58" i="9"/>
  <c r="BR58" i="9"/>
  <c r="BF43" i="9"/>
  <c r="BZ43" i="9"/>
  <c r="BF23" i="9"/>
  <c r="BU23" i="9"/>
  <c r="Q17" i="9"/>
  <c r="BJ12" i="9"/>
  <c r="BN6" i="9"/>
  <c r="A10" i="9"/>
  <c r="BM10" i="9"/>
  <c r="S10" i="9"/>
  <c r="BG10" i="9"/>
  <c r="BH10" i="9"/>
  <c r="BI10" i="9"/>
  <c r="P10" i="9"/>
  <c r="DK10" i="2" s="1"/>
  <c r="BN21" i="9"/>
  <c r="BJ21" i="9"/>
  <c r="I21" i="9"/>
  <c r="BF21" i="9"/>
  <c r="BH21" i="9"/>
  <c r="R59" i="9"/>
  <c r="O59" i="9"/>
  <c r="D59" i="9"/>
  <c r="A66" i="9"/>
  <c r="O66" i="9"/>
  <c r="BY31" i="9"/>
  <c r="BN43" i="9"/>
  <c r="K23" i="9"/>
  <c r="BM17" i="9"/>
  <c r="BR23" i="9"/>
  <c r="AD6" i="9"/>
  <c r="BK6" i="9"/>
  <c r="BH43" i="9"/>
  <c r="CB43" i="9"/>
  <c r="BG23" i="9"/>
  <c r="BW23" i="9"/>
  <c r="BK17" i="9"/>
  <c r="P13" i="9"/>
  <c r="BM13" i="9"/>
  <c r="CA13" i="9"/>
  <c r="BL12" i="9"/>
  <c r="BT10" i="9"/>
  <c r="BP6" i="9"/>
  <c r="Q35" i="9"/>
  <c r="CC35" i="9"/>
  <c r="BN35" i="9"/>
  <c r="BX35" i="9"/>
  <c r="BY35" i="9"/>
  <c r="BH35" i="9"/>
  <c r="J35" i="9"/>
  <c r="CA41" i="9"/>
  <c r="BI41" i="9"/>
  <c r="G41" i="9"/>
  <c r="CC41" i="9"/>
  <c r="BH41" i="9"/>
  <c r="I60" i="9"/>
  <c r="D60" i="9"/>
  <c r="E60" i="9" s="1"/>
  <c r="N60" i="9"/>
  <c r="DI60" i="2" s="1"/>
  <c r="CC31" i="9"/>
  <c r="BK43" i="9"/>
  <c r="Z6" i="9"/>
  <c r="H66" i="9"/>
  <c r="Q43" i="9"/>
  <c r="DL43" i="2" s="1"/>
  <c r="P59" i="9"/>
  <c r="R43" i="9"/>
  <c r="DM43" i="2" s="1"/>
  <c r="BR21" i="9"/>
  <c r="CC21" i="9"/>
  <c r="H33" i="9"/>
  <c r="S33" i="9"/>
  <c r="A19" i="9"/>
  <c r="BZ10" i="9"/>
  <c r="L33" i="9"/>
  <c r="BX21" i="9"/>
  <c r="BF19" i="9"/>
  <c r="CC17" i="9"/>
  <c r="BE10" i="9"/>
  <c r="BY32" i="9"/>
  <c r="CD32" i="9"/>
  <c r="P23" i="9"/>
  <c r="R6" i="9"/>
  <c r="P6" i="9"/>
  <c r="DK6" i="2" s="1"/>
  <c r="CB7" i="9"/>
  <c r="O24" i="9"/>
  <c r="BF24" i="9"/>
  <c r="BZ8" i="9"/>
  <c r="I8" i="9"/>
  <c r="BY7" i="9"/>
  <c r="AS6" i="9"/>
  <c r="G69" i="9"/>
  <c r="N67" i="9"/>
  <c r="I64" i="9"/>
  <c r="Q63" i="9"/>
  <c r="BF57" i="9"/>
  <c r="BK56" i="9"/>
  <c r="L44" i="9"/>
  <c r="BW44" i="9"/>
  <c r="BI43" i="9"/>
  <c r="BX43" i="9"/>
  <c r="N41" i="9"/>
  <c r="BU41" i="9"/>
  <c r="R38" i="9"/>
  <c r="BW33" i="9"/>
  <c r="H23" i="9"/>
  <c r="BJ23" i="9"/>
  <c r="BX23" i="9"/>
  <c r="BE19" i="9"/>
  <c r="BN17" i="9"/>
  <c r="BK16" i="9"/>
  <c r="Q13" i="9"/>
  <c r="BN13" i="9"/>
  <c r="CC13" i="9"/>
  <c r="BS12" i="9"/>
  <c r="H10" i="9"/>
  <c r="BU10" i="9"/>
  <c r="BR6" i="9"/>
  <c r="BX11" i="9"/>
  <c r="BZ11" i="9"/>
  <c r="BH11" i="9"/>
  <c r="BE11" i="9"/>
  <c r="BS11" i="9"/>
  <c r="O11" i="9"/>
  <c r="BN11" i="9"/>
  <c r="J11" i="9"/>
  <c r="BV22" i="9"/>
  <c r="BL22" i="9"/>
  <c r="Q22" i="9"/>
  <c r="A22" i="9"/>
  <c r="CC22" i="9"/>
  <c r="BQ22" i="9"/>
  <c r="BE22" i="9"/>
  <c r="H22" i="9"/>
  <c r="D61" i="9"/>
  <c r="S61" i="9"/>
  <c r="BZ17" i="9"/>
  <c r="R23" i="9"/>
  <c r="DM23" i="2" s="1"/>
  <c r="G6" i="9"/>
  <c r="H6" i="9"/>
  <c r="BO43" i="9"/>
  <c r="J23" i="9"/>
  <c r="BK23" i="9"/>
  <c r="BZ23" i="9"/>
  <c r="BN19" i="9"/>
  <c r="R13" i="9"/>
  <c r="DM13" i="2" s="1"/>
  <c r="BQ13" i="9"/>
  <c r="J12" i="9"/>
  <c r="BT12" i="9"/>
  <c r="K10" i="9"/>
  <c r="BV10" i="9"/>
  <c r="J6" i="9"/>
  <c r="BY6" i="9"/>
  <c r="BZ16" i="9"/>
  <c r="H16" i="9"/>
  <c r="N16" i="9"/>
  <c r="DI16" i="2" s="1"/>
  <c r="BE16" i="9"/>
  <c r="CC16" i="9"/>
  <c r="A62" i="9"/>
  <c r="G62" i="9"/>
  <c r="S62" i="9"/>
  <c r="CA6" i="9"/>
  <c r="BS6" i="9"/>
  <c r="N6" i="9"/>
  <c r="DI6" i="2" s="1"/>
  <c r="BG6" i="9"/>
  <c r="BU6" i="9"/>
  <c r="A6" i="9"/>
  <c r="CB6" i="9"/>
  <c r="O6" i="9"/>
  <c r="DJ6" i="2" s="1"/>
  <c r="BO6" i="9"/>
  <c r="Y6" i="9"/>
  <c r="CC12" i="9"/>
  <c r="BI12" i="9"/>
  <c r="BQ12" i="9"/>
  <c r="BG17" i="9"/>
  <c r="R17" i="9"/>
  <c r="BU17" i="9"/>
  <c r="D23" i="9"/>
  <c r="CC23" i="9"/>
  <c r="BP23" i="9"/>
  <c r="BE23" i="9"/>
  <c r="G23" i="9"/>
  <c r="BH23" i="9"/>
  <c r="BS23" i="9"/>
  <c r="S23" i="9"/>
  <c r="I23" i="9"/>
  <c r="A43" i="9"/>
  <c r="CA43" i="9"/>
  <c r="BJ43" i="9"/>
  <c r="J43" i="9"/>
  <c r="BT43" i="9"/>
  <c r="P43" i="9"/>
  <c r="BH17" i="9"/>
  <c r="BZ6" i="9"/>
  <c r="BQ23" i="9"/>
  <c r="CB10" i="9"/>
  <c r="BQ10" i="9"/>
  <c r="BW6" i="9"/>
  <c r="L66" i="9"/>
  <c r="K43" i="9"/>
  <c r="BQ43" i="9"/>
  <c r="N23" i="9"/>
  <c r="DI23" i="2" s="1"/>
  <c r="BN23" i="9"/>
  <c r="BW21" i="9"/>
  <c r="BW17" i="9"/>
  <c r="G13" i="9"/>
  <c r="BI13" i="9"/>
  <c r="BU13" i="9"/>
  <c r="N12" i="9"/>
  <c r="CA12" i="9"/>
  <c r="N10" i="9"/>
  <c r="CC10" i="9"/>
  <c r="BQ7" i="9"/>
  <c r="FN7" i="2"/>
  <c r="BN7" i="9"/>
  <c r="BJ7" i="9"/>
  <c r="FG7" i="2"/>
  <c r="Q7" i="9"/>
  <c r="DL7" i="2" s="1"/>
  <c r="CA7" i="9"/>
  <c r="FX7" i="2"/>
  <c r="A13" i="9"/>
  <c r="BG24" i="9"/>
  <c r="R24" i="9"/>
  <c r="J24" i="9"/>
  <c r="K24" i="9"/>
  <c r="BI24" i="9"/>
  <c r="BW37" i="9"/>
  <c r="BE37" i="9"/>
  <c r="BU37" i="9"/>
  <c r="A44" i="9"/>
  <c r="P69" i="9"/>
  <c r="S69" i="9"/>
  <c r="O69" i="9"/>
  <c r="BT15" i="9"/>
  <c r="BE15" i="9"/>
  <c r="BL27" i="9"/>
  <c r="H27" i="9"/>
  <c r="CA27" i="9"/>
  <c r="BX34" i="9"/>
  <c r="L34" i="9"/>
  <c r="Q26" i="9"/>
  <c r="N26" i="9"/>
  <c r="S26" i="9"/>
  <c r="X26" i="9"/>
  <c r="BV7" i="9"/>
  <c r="BI7" i="9"/>
  <c r="FF7" i="2"/>
  <c r="BX7" i="9"/>
  <c r="FU7" i="2"/>
  <c r="R7" i="9"/>
  <c r="DM7" i="2" s="1"/>
  <c r="N7" i="9"/>
  <c r="BE7" i="9"/>
  <c r="FB7" i="2"/>
  <c r="CC7" i="9"/>
  <c r="FZ7" i="2"/>
  <c r="I7" i="9"/>
  <c r="K7" i="9"/>
  <c r="L7" i="9"/>
  <c r="DH7" i="2" s="1"/>
  <c r="BS7" i="9"/>
  <c r="FP7" i="2"/>
  <c r="BU7" i="9"/>
  <c r="J7" i="9"/>
  <c r="BT7" i="9"/>
  <c r="FQ7" i="2"/>
  <c r="BW7" i="9"/>
  <c r="FT7" i="2"/>
  <c r="BP7" i="9"/>
  <c r="FM7" i="2"/>
  <c r="BR7" i="9"/>
  <c r="BM7" i="9"/>
  <c r="FJ7" i="2"/>
  <c r="BI27" i="9"/>
  <c r="L27" i="9"/>
  <c r="BQ27" i="9"/>
  <c r="Q27" i="9"/>
  <c r="P27" i="9"/>
  <c r="DK27" i="2" s="1"/>
  <c r="BF27" i="9"/>
  <c r="G27" i="9"/>
  <c r="BZ27" i="9"/>
  <c r="BV27" i="9"/>
  <c r="J27" i="9"/>
  <c r="BY27" i="9"/>
  <c r="BN27" i="9"/>
  <c r="BV40" i="9"/>
  <c r="Q40" i="9"/>
  <c r="BL40" i="9"/>
  <c r="BX40" i="9"/>
  <c r="BH40" i="9"/>
  <c r="BL58" i="9"/>
  <c r="CA58" i="9"/>
  <c r="O58" i="9"/>
  <c r="D58" i="9"/>
  <c r="E58" i="9" s="1"/>
  <c r="BH58" i="9"/>
  <c r="BF58" i="9"/>
  <c r="K67" i="9"/>
  <c r="H62" i="9"/>
  <c r="BS57" i="9"/>
  <c r="BV37" i="9"/>
  <c r="BS32" i="9"/>
  <c r="BW8" i="9"/>
  <c r="BS8" i="9"/>
  <c r="P8" i="9"/>
  <c r="A8" i="9"/>
  <c r="BT8" i="9"/>
  <c r="BU8" i="9"/>
  <c r="FR8" i="2"/>
  <c r="BR8" i="9"/>
  <c r="CA8" i="9"/>
  <c r="FX8" i="2"/>
  <c r="BX8" i="9"/>
  <c r="FU8" i="2"/>
  <c r="N8" i="9"/>
  <c r="DI8" i="2" s="1"/>
  <c r="BM8" i="9"/>
  <c r="BP8" i="9"/>
  <c r="FM8" i="2"/>
  <c r="BL8" i="9"/>
  <c r="FI8" i="2"/>
  <c r="R8" i="9"/>
  <c r="DM8" i="2" s="1"/>
  <c r="D8" i="9"/>
  <c r="Q8" i="9"/>
  <c r="DL8" i="2" s="1"/>
  <c r="BG8" i="9"/>
  <c r="FD8" i="2"/>
  <c r="CB8" i="9"/>
  <c r="A12" i="9"/>
  <c r="BV12" i="9"/>
  <c r="FS12" i="2"/>
  <c r="BM12" i="9"/>
  <c r="FJ12" i="2"/>
  <c r="S12" i="9"/>
  <c r="DN12" i="2" s="1"/>
  <c r="I12" i="9"/>
  <c r="BU12" i="9"/>
  <c r="FR12" i="2"/>
  <c r="BK12" i="9"/>
  <c r="FH12" i="2"/>
  <c r="P12" i="9"/>
  <c r="DK12" i="2" s="1"/>
  <c r="CB12" i="9"/>
  <c r="BR12" i="9"/>
  <c r="BG12" i="9"/>
  <c r="FD12" i="2"/>
  <c r="K12" i="9"/>
  <c r="DG12" i="2" s="1"/>
  <c r="BZ12" i="9"/>
  <c r="BO12" i="9"/>
  <c r="FL12" i="2"/>
  <c r="BE12" i="9"/>
  <c r="FB12" i="2"/>
  <c r="H12" i="9"/>
  <c r="BY12" i="9"/>
  <c r="BN12" i="9"/>
  <c r="FK12" i="2"/>
  <c r="R12" i="9"/>
  <c r="G12" i="9"/>
  <c r="BP16" i="9"/>
  <c r="Q16" i="9"/>
  <c r="DL16" i="2" s="1"/>
  <c r="BY16" i="9"/>
  <c r="BH16" i="9"/>
  <c r="FE16" i="2"/>
  <c r="G16" i="9"/>
  <c r="BN16" i="9"/>
  <c r="FK16" i="2"/>
  <c r="BI16" i="9"/>
  <c r="FF16" i="2"/>
  <c r="BL16" i="9"/>
  <c r="BU16" i="9"/>
  <c r="R16" i="9"/>
  <c r="DM16" i="2" s="1"/>
  <c r="BO16" i="9"/>
  <c r="FL16" i="2"/>
  <c r="L16" i="9"/>
  <c r="DH16" i="2" s="1"/>
  <c r="CA16" i="9"/>
  <c r="BM16" i="9"/>
  <c r="K16" i="9"/>
  <c r="DG16" i="2" s="1"/>
  <c r="I16" i="9"/>
  <c r="A41" i="9"/>
  <c r="CB41" i="9"/>
  <c r="BS41" i="9"/>
  <c r="BJ41" i="9"/>
  <c r="P41" i="9"/>
  <c r="BV41" i="9"/>
  <c r="BL41" i="9"/>
  <c r="Q41" i="9"/>
  <c r="D41" i="9"/>
  <c r="E41" i="9" s="1"/>
  <c r="BZ41" i="9"/>
  <c r="BP41" i="9"/>
  <c r="BE41" i="9"/>
  <c r="I41" i="9"/>
  <c r="BY41" i="9"/>
  <c r="BN41" i="9"/>
  <c r="S41" i="9"/>
  <c r="H41" i="9"/>
  <c r="P63" i="9"/>
  <c r="DK62" i="2" s="1"/>
  <c r="D63" i="9"/>
  <c r="N63" i="9"/>
  <c r="S63" i="9"/>
  <c r="H63" i="9"/>
  <c r="R63" i="9"/>
  <c r="DM62" i="2" s="1"/>
  <c r="G63" i="9"/>
  <c r="L67" i="9"/>
  <c r="DH67" i="2" s="1"/>
  <c r="I62" i="9"/>
  <c r="H37" i="9"/>
  <c r="BY17" i="9"/>
  <c r="BO17" i="9"/>
  <c r="S17" i="9"/>
  <c r="H17" i="9"/>
  <c r="A17" i="9"/>
  <c r="BR17" i="9"/>
  <c r="BF17" i="9"/>
  <c r="G17" i="9"/>
  <c r="N17" i="9"/>
  <c r="DI17" i="2" s="1"/>
  <c r="BX17" i="9"/>
  <c r="BL17" i="9"/>
  <c r="FI17" i="2"/>
  <c r="O17" i="9"/>
  <c r="BV17" i="9"/>
  <c r="BJ17" i="9"/>
  <c r="K17" i="9"/>
  <c r="DG17" i="2" s="1"/>
  <c r="BT17" i="9"/>
  <c r="FQ17" i="2"/>
  <c r="BI17" i="9"/>
  <c r="J17" i="9"/>
  <c r="BW29" i="9"/>
  <c r="I29" i="9"/>
  <c r="BZ42" i="9"/>
  <c r="N42" i="9"/>
  <c r="BW42" i="9"/>
  <c r="BE42" i="9"/>
  <c r="O42" i="9"/>
  <c r="DJ44" i="2" s="1"/>
  <c r="BX18" i="9"/>
  <c r="BN18" i="9"/>
  <c r="BE18" i="9"/>
  <c r="J18" i="9"/>
  <c r="BU18" i="9"/>
  <c r="BK18" i="9"/>
  <c r="P18" i="9"/>
  <c r="CB18" i="9"/>
  <c r="BR18" i="9"/>
  <c r="BH18" i="9"/>
  <c r="K18" i="9"/>
  <c r="D18" i="9"/>
  <c r="E18" i="9" s="1"/>
  <c r="BZ18" i="9"/>
  <c r="BP18" i="9"/>
  <c r="S18" i="9"/>
  <c r="H18" i="9"/>
  <c r="A18" i="9"/>
  <c r="BY18" i="9"/>
  <c r="FV18" i="2"/>
  <c r="BM18" i="9"/>
  <c r="FJ18" i="2"/>
  <c r="R18" i="9"/>
  <c r="DM18" i="2" s="1"/>
  <c r="G18" i="9"/>
  <c r="BW31" i="9"/>
  <c r="FT31" i="2"/>
  <c r="BN31" i="9"/>
  <c r="FK31" i="2"/>
  <c r="BE31" i="9"/>
  <c r="FB31" i="2"/>
  <c r="BN20" i="9"/>
  <c r="BZ20" i="9"/>
  <c r="FW20" i="2"/>
  <c r="Q20" i="9"/>
  <c r="DL20" i="2" s="1"/>
  <c r="BM20" i="9"/>
  <c r="FJ20" i="2"/>
  <c r="BL20" i="9"/>
  <c r="R20" i="9"/>
  <c r="DM20" i="2" s="1"/>
  <c r="K20" i="9"/>
  <c r="BZ24" i="9"/>
  <c r="L24" i="9"/>
  <c r="I24" i="9"/>
  <c r="G24" i="9"/>
  <c r="BL24" i="9"/>
  <c r="BY24" i="9"/>
  <c r="BW24" i="9"/>
  <c r="FT24" i="2"/>
  <c r="BU24" i="9"/>
  <c r="FR24" i="2"/>
  <c r="D24" i="9"/>
  <c r="E24" i="9" s="1"/>
  <c r="BS24" i="9"/>
  <c r="CC24" i="9"/>
  <c r="S24" i="9"/>
  <c r="DN24" i="2" s="1"/>
  <c r="BP24" i="9"/>
  <c r="BN24" i="9"/>
  <c r="BK24" i="9"/>
  <c r="CE24" i="9"/>
  <c r="GB24" i="2"/>
  <c r="BW32" i="9"/>
  <c r="CB32" i="9"/>
  <c r="CC37" i="9"/>
  <c r="BL37" i="9"/>
  <c r="FI37" i="2"/>
  <c r="I37" i="9"/>
  <c r="BY37" i="9"/>
  <c r="BJ37" i="9"/>
  <c r="G37" i="9"/>
  <c r="BQ37" i="9"/>
  <c r="FN37" i="2"/>
  <c r="O37" i="9"/>
  <c r="DJ37" i="2" s="1"/>
  <c r="BN37" i="9"/>
  <c r="J37" i="9"/>
  <c r="I66" i="9"/>
  <c r="D66" i="9"/>
  <c r="E66" i="9" s="1"/>
  <c r="K66" i="9"/>
  <c r="BW20" i="9"/>
  <c r="BT21" i="9"/>
  <c r="BZ21" i="9"/>
  <c r="CB21" i="9"/>
  <c r="K21" i="9"/>
  <c r="DG21" i="2" s="1"/>
  <c r="BK21" i="9"/>
  <c r="FH21" i="2"/>
  <c r="J21" i="9"/>
  <c r="Q21" i="9"/>
  <c r="BV21" i="9"/>
  <c r="FS21" i="2"/>
  <c r="H21" i="9"/>
  <c r="BN38" i="9"/>
  <c r="D38" i="9"/>
  <c r="O38" i="9"/>
  <c r="DJ38" i="2" s="1"/>
  <c r="BS38" i="9"/>
  <c r="FP38" i="2"/>
  <c r="BE38" i="9"/>
  <c r="D57" i="9"/>
  <c r="BX57" i="9"/>
  <c r="BL57" i="9"/>
  <c r="I57" i="9"/>
  <c r="CB57" i="9"/>
  <c r="BI57" i="9"/>
  <c r="BR57" i="9"/>
  <c r="K57" i="9"/>
  <c r="DG57" i="2" s="1"/>
  <c r="BP57" i="9"/>
  <c r="G57" i="9"/>
  <c r="O62" i="9"/>
  <c r="J62" i="9"/>
  <c r="K62" i="9"/>
  <c r="DG61" i="2" s="1"/>
  <c r="D62" i="9"/>
  <c r="E62" i="9" s="1"/>
  <c r="P62" i="9"/>
  <c r="DK61" i="2" s="1"/>
  <c r="N62" i="9"/>
  <c r="O67" i="9"/>
  <c r="J67" i="9"/>
  <c r="D67" i="9"/>
  <c r="Q67" i="9"/>
  <c r="I67" i="9"/>
  <c r="S67" i="9"/>
  <c r="H67" i="9"/>
  <c r="J69" i="9"/>
  <c r="N65" i="9"/>
  <c r="O61" i="9"/>
  <c r="Q56" i="9"/>
  <c r="S45" i="9"/>
  <c r="DN45" i="2" s="1"/>
  <c r="H14" i="9"/>
  <c r="BL14" i="9"/>
  <c r="FI14" i="2"/>
  <c r="L11" i="9"/>
  <c r="DH11" i="2" s="1"/>
  <c r="BJ11" i="9"/>
  <c r="I6" i="9"/>
  <c r="BJ6" i="9"/>
  <c r="FG6" i="2"/>
  <c r="BW10" i="9"/>
  <c r="FT10" i="2"/>
  <c r="BL10" i="9"/>
  <c r="BY13" i="9"/>
  <c r="FV13" i="2"/>
  <c r="BP13" i="9"/>
  <c r="BF13" i="9"/>
  <c r="FC13" i="2"/>
  <c r="K13" i="9"/>
  <c r="DG13" i="2" s="1"/>
  <c r="CB22" i="9"/>
  <c r="BS22" i="9"/>
  <c r="FP22" i="2"/>
  <c r="BJ22" i="9"/>
  <c r="FG22" i="2"/>
  <c r="P22" i="9"/>
  <c r="DK22" i="2" s="1"/>
  <c r="V34" i="9"/>
  <c r="H34" i="9"/>
  <c r="BS43" i="9"/>
  <c r="FP43" i="2"/>
  <c r="BG43" i="9"/>
  <c r="BY14" i="9"/>
  <c r="FV14" i="2"/>
  <c r="BK14" i="9"/>
  <c r="FH14" i="2"/>
  <c r="J14" i="9"/>
  <c r="BV6" i="9"/>
  <c r="FS6" i="2"/>
  <c r="BF6" i="9"/>
  <c r="FC6" i="2"/>
  <c r="CB11" i="9"/>
  <c r="FY11" i="2"/>
  <c r="BP11" i="9"/>
  <c r="FM11" i="2"/>
  <c r="S11" i="9"/>
  <c r="DN11" i="2" s="1"/>
  <c r="G11" i="9"/>
  <c r="BX45" i="9"/>
  <c r="FU45" i="2"/>
  <c r="BI45" i="9"/>
  <c r="FF45" i="2"/>
  <c r="J45" i="9"/>
  <c r="I61" i="9"/>
  <c r="CC56" i="9"/>
  <c r="P45" i="9"/>
  <c r="DK45" i="2" s="1"/>
  <c r="BP45" i="9"/>
  <c r="FM45" i="2"/>
  <c r="BF14" i="9"/>
  <c r="BX14" i="9"/>
  <c r="FU14" i="2"/>
  <c r="H11" i="9"/>
  <c r="BG11" i="9"/>
  <c r="BT11" i="9"/>
  <c r="BE6" i="9"/>
  <c r="FB6" i="2"/>
  <c r="BX6" i="9"/>
  <c r="BX33" i="9"/>
  <c r="Q33" i="9"/>
  <c r="P26" i="9"/>
  <c r="DK26" i="2" s="1"/>
  <c r="O26" i="9"/>
  <c r="BN53" i="9"/>
  <c r="BY53" i="9"/>
  <c r="Q49" i="9"/>
  <c r="BO46" i="9"/>
  <c r="FL46" i="2"/>
  <c r="J49" i="9"/>
  <c r="BG49" i="9"/>
  <c r="BE53" i="9"/>
  <c r="P46" i="9"/>
  <c r="DK46" i="2" s="1"/>
  <c r="BU46" i="9"/>
  <c r="FR46" i="2"/>
  <c r="AD46" i="9"/>
  <c r="BE46" i="9"/>
  <c r="FB46" i="2"/>
  <c r="O53" i="9"/>
  <c r="DJ51" i="2" s="1"/>
  <c r="CA49" i="9"/>
  <c r="BI49" i="9"/>
  <c r="O49" i="9"/>
  <c r="BE49" i="9"/>
  <c r="BZ46" i="9"/>
  <c r="FW46" i="2"/>
  <c r="CA46" i="9"/>
  <c r="R53" i="9"/>
  <c r="DM51" i="2" s="1"/>
  <c r="BT49" i="9"/>
  <c r="BZ49" i="9"/>
  <c r="BH49" i="9"/>
  <c r="BV46" i="9"/>
  <c r="FS46" i="2"/>
  <c r="BY46" i="9"/>
  <c r="FV46" i="2"/>
  <c r="J46" i="9"/>
  <c r="BL49" i="9"/>
  <c r="BR49" i="9"/>
  <c r="G49" i="9"/>
  <c r="CC49" i="9"/>
  <c r="BM46" i="9"/>
  <c r="BG46" i="9"/>
  <c r="FD46" i="2"/>
  <c r="BK46" i="9"/>
  <c r="FH46" i="2"/>
  <c r="Q46" i="9"/>
  <c r="DL46" i="2" s="1"/>
  <c r="BO47" i="9"/>
  <c r="BJ49" i="9"/>
  <c r="BP49" i="9"/>
  <c r="BN49" i="9"/>
  <c r="A49" i="9"/>
  <c r="BR46" i="9"/>
  <c r="FO46" i="2"/>
  <c r="N46" i="9"/>
  <c r="DI46" i="2" s="1"/>
  <c r="CB47" i="9"/>
  <c r="H46" i="9"/>
  <c r="CC46" i="9"/>
  <c r="BK49" i="9"/>
  <c r="BQ49" i="9"/>
  <c r="BW49" i="9"/>
  <c r="BH46" i="9"/>
  <c r="FE46" i="2"/>
  <c r="BL53" i="9"/>
  <c r="BZ47" i="9"/>
  <c r="N47" i="9"/>
  <c r="BJ47" i="9"/>
  <c r="S47" i="9"/>
  <c r="DN47" i="2" s="1"/>
  <c r="CA47" i="9"/>
  <c r="BT47" i="9"/>
  <c r="BG48" i="9"/>
  <c r="S49" i="9"/>
  <c r="BY49" i="9"/>
  <c r="P49" i="9"/>
  <c r="BF49" i="9"/>
  <c r="L49" i="9"/>
  <c r="DH55" i="2" s="1"/>
  <c r="BS53" i="9"/>
  <c r="BU53" i="9"/>
  <c r="H53" i="9"/>
  <c r="BT53" i="9"/>
  <c r="BI53" i="9"/>
  <c r="S53" i="9"/>
  <c r="BR53" i="9"/>
  <c r="BM53" i="9"/>
  <c r="BP53" i="9"/>
  <c r="BF53" i="9"/>
  <c r="G53" i="9"/>
  <c r="BQ53" i="9"/>
  <c r="BZ53" i="9"/>
  <c r="G60" i="13"/>
  <c r="I53" i="9"/>
  <c r="CA53" i="9"/>
  <c r="L53" i="9"/>
  <c r="N53" i="9"/>
  <c r="CB53" i="9"/>
  <c r="BK53" i="9"/>
  <c r="BJ53" i="9"/>
  <c r="BN48" i="9"/>
  <c r="Q48" i="9"/>
  <c r="BS48" i="9"/>
  <c r="BY48" i="9"/>
  <c r="CD48" i="9" s="1"/>
  <c r="GA54" i="2" s="1"/>
  <c r="K48" i="9"/>
  <c r="X46" i="9"/>
  <c r="DF46" i="2" s="1"/>
  <c r="HB46" i="2" s="1"/>
  <c r="BP46" i="9"/>
  <c r="FM46" i="2"/>
  <c r="I46" i="9"/>
  <c r="BI46" i="9"/>
  <c r="FF46" i="2"/>
  <c r="BX46" i="9"/>
  <c r="FU46" i="2"/>
  <c r="O46" i="9"/>
  <c r="DJ46" i="2" s="1"/>
  <c r="BL46" i="9"/>
  <c r="CB46" i="9"/>
  <c r="FY46" i="2"/>
  <c r="D46" i="9"/>
  <c r="CC48" i="9"/>
  <c r="BL48" i="9"/>
  <c r="BR48" i="9"/>
  <c r="A48" i="9"/>
  <c r="BJ46" i="9"/>
  <c r="FG46" i="2"/>
  <c r="BN46" i="9"/>
  <c r="BO48" i="9"/>
  <c r="R46" i="9"/>
  <c r="DM46" i="2" s="1"/>
  <c r="BQ46" i="9"/>
  <c r="FN46" i="2"/>
  <c r="BW46" i="9"/>
  <c r="S46" i="9"/>
  <c r="DN46" i="2" s="1"/>
  <c r="BS46" i="9"/>
  <c r="FP46" i="2"/>
  <c r="G46" i="9"/>
  <c r="BF46" i="9"/>
  <c r="FC46" i="2"/>
  <c r="BP47" i="9"/>
  <c r="J53" i="9"/>
  <c r="BW53" i="9"/>
  <c r="BW47" i="9"/>
  <c r="Q53" i="9"/>
  <c r="CC53" i="9"/>
  <c r="BH53" i="9"/>
  <c r="BV53" i="9"/>
  <c r="CE32" i="9"/>
  <c r="GB32" i="2"/>
  <c r="BV47" i="9"/>
  <c r="BI47" i="9"/>
  <c r="BK47" i="9"/>
  <c r="BG47" i="9"/>
  <c r="BE47" i="9"/>
  <c r="A47" i="9"/>
  <c r="BR47" i="9"/>
  <c r="BS47" i="9"/>
  <c r="D47" i="9"/>
  <c r="E47" i="9" s="1"/>
  <c r="CC47" i="9"/>
  <c r="BN47" i="9"/>
  <c r="BF47" i="9"/>
  <c r="I47" i="9"/>
  <c r="H47" i="9"/>
  <c r="BG53" i="9"/>
  <c r="FD51" i="2"/>
  <c r="BX53" i="9"/>
  <c r="BW48" i="9"/>
  <c r="FT54" i="2"/>
  <c r="BQ47" i="9"/>
  <c r="BH47" i="9"/>
  <c r="BX47" i="9"/>
  <c r="BL47" i="9"/>
  <c r="FI47" i="2"/>
  <c r="R47" i="9"/>
  <c r="DM47" i="2" s="1"/>
  <c r="L47" i="9"/>
  <c r="BY47" i="9"/>
  <c r="J47" i="9"/>
  <c r="G47" i="9"/>
  <c r="BU47" i="9"/>
  <c r="O47" i="9"/>
  <c r="BM47" i="9"/>
  <c r="FJ47" i="2"/>
  <c r="Q47" i="9"/>
  <c r="K47" i="9"/>
  <c r="K53" i="9"/>
  <c r="D79" i="18"/>
  <c r="D80" i="18"/>
  <c r="F80" i="18"/>
  <c r="G78" i="18"/>
  <c r="G68" i="18"/>
  <c r="D49" i="11"/>
  <c r="D50" i="11"/>
  <c r="D51" i="11"/>
  <c r="F51" i="11"/>
  <c r="C27" i="12"/>
  <c r="F27" i="13"/>
  <c r="D50" i="14"/>
  <c r="D51" i="14"/>
  <c r="D39" i="12"/>
  <c r="D40" i="12"/>
  <c r="D41" i="12"/>
  <c r="F41" i="12"/>
  <c r="AI6" i="9"/>
  <c r="EF6" i="2" s="1"/>
  <c r="C39" i="13"/>
  <c r="B47" i="11"/>
  <c r="F28" i="14"/>
  <c r="AS56" i="9"/>
  <c r="EP56" i="2" s="1"/>
  <c r="F70" i="14"/>
  <c r="D53" i="11"/>
  <c r="F54" i="11"/>
  <c r="G38" i="11"/>
  <c r="F47" i="18"/>
  <c r="F47" i="11"/>
  <c r="G74" i="14"/>
  <c r="G38" i="12"/>
  <c r="D58" i="12"/>
  <c r="G58" i="12"/>
  <c r="G42" i="11"/>
  <c r="D63" i="13"/>
  <c r="F63" i="13"/>
  <c r="F30" i="13"/>
  <c r="AI25" i="9"/>
  <c r="EF25" i="2" s="1"/>
  <c r="AA6" i="9"/>
  <c r="DX6" i="2" s="1"/>
  <c r="D85" i="14"/>
  <c r="D86" i="14"/>
  <c r="G33" i="18"/>
  <c r="D31" i="13"/>
  <c r="D32" i="13"/>
  <c r="F34" i="11"/>
  <c r="G27" i="11"/>
  <c r="E27" i="11"/>
  <c r="G87" i="11"/>
  <c r="G72" i="11"/>
  <c r="F72" i="11"/>
  <c r="E47" i="18"/>
  <c r="G63" i="14"/>
  <c r="B72" i="11"/>
  <c r="F37" i="11"/>
  <c r="E37" i="12"/>
  <c r="D43" i="11"/>
  <c r="G43" i="11"/>
  <c r="D38" i="18"/>
  <c r="C42" i="11"/>
  <c r="B27" i="12"/>
  <c r="F61" i="13"/>
  <c r="D45" i="14"/>
  <c r="D46" i="14"/>
  <c r="F31" i="13"/>
  <c r="AS33" i="9"/>
  <c r="F60" i="14"/>
  <c r="F38" i="12"/>
  <c r="E57" i="12"/>
  <c r="C77" i="18"/>
  <c r="F45" i="14"/>
  <c r="G79" i="14"/>
  <c r="G59" i="14"/>
  <c r="AN46" i="9"/>
  <c r="EK46" i="2" s="1"/>
  <c r="AN33" i="9"/>
  <c r="E62" i="18"/>
  <c r="B57" i="11"/>
  <c r="F57" i="12"/>
  <c r="C57" i="12"/>
  <c r="F80" i="14"/>
  <c r="D39" i="11"/>
  <c r="D40" i="11"/>
  <c r="F33" i="11"/>
  <c r="F27" i="11"/>
  <c r="C27" i="11"/>
  <c r="F63" i="18"/>
  <c r="F61" i="14"/>
  <c r="F58" i="18"/>
  <c r="G59" i="13"/>
  <c r="F68" i="18"/>
  <c r="C62" i="18"/>
  <c r="D43" i="12"/>
  <c r="G43" i="12"/>
  <c r="E27" i="12"/>
  <c r="D74" i="11"/>
  <c r="D75" i="11"/>
  <c r="F74" i="11"/>
  <c r="G73" i="11"/>
  <c r="F73" i="11"/>
  <c r="F84" i="18"/>
  <c r="D84" i="18"/>
  <c r="D85" i="18"/>
  <c r="G83" i="18"/>
  <c r="F83" i="18"/>
  <c r="AJ46" i="9"/>
  <c r="F88" i="18"/>
  <c r="F89" i="18"/>
  <c r="D89" i="18"/>
  <c r="D90" i="18"/>
  <c r="D91" i="18"/>
  <c r="F91" i="18"/>
  <c r="G88" i="18"/>
  <c r="F60" i="13"/>
  <c r="Y46" i="9"/>
  <c r="G57" i="18"/>
  <c r="G23" i="12"/>
  <c r="G33" i="11"/>
  <c r="F28" i="18"/>
  <c r="AE33" i="9"/>
  <c r="EB33" i="2" s="1"/>
  <c r="C43" i="14"/>
  <c r="D69" i="18"/>
  <c r="D70" i="18"/>
  <c r="F49" i="11"/>
  <c r="D53" i="12"/>
  <c r="D59" i="18"/>
  <c r="D60" i="18"/>
  <c r="G25" i="13"/>
  <c r="F26" i="13"/>
  <c r="F33" i="12"/>
  <c r="F69" i="14"/>
  <c r="F28" i="12"/>
  <c r="F41" i="13"/>
  <c r="F89" i="14"/>
  <c r="F40" i="14"/>
  <c r="G48" i="12"/>
  <c r="F74" i="18"/>
  <c r="G58" i="18"/>
  <c r="F82" i="18"/>
  <c r="G69" i="14"/>
  <c r="E47" i="11"/>
  <c r="E67" i="11"/>
  <c r="G42" i="12"/>
  <c r="B43" i="14"/>
  <c r="D88" i="11"/>
  <c r="B22" i="12"/>
  <c r="E43" i="14"/>
  <c r="F38" i="11"/>
  <c r="G62" i="11"/>
  <c r="F29" i="12"/>
  <c r="D74" i="18"/>
  <c r="D75" i="18"/>
  <c r="B78" i="14"/>
  <c r="F30" i="11"/>
  <c r="D31" i="12"/>
  <c r="F31" i="12"/>
  <c r="F30" i="12"/>
  <c r="F55" i="14"/>
  <c r="D55" i="14"/>
  <c r="D56" i="14"/>
  <c r="G54" i="14"/>
  <c r="F54" i="14"/>
  <c r="D79" i="11"/>
  <c r="D80" i="11"/>
  <c r="F79" i="11"/>
  <c r="F78" i="11"/>
  <c r="G78" i="11"/>
  <c r="F35" i="13"/>
  <c r="F36" i="13"/>
  <c r="D36" i="13"/>
  <c r="D37" i="13"/>
  <c r="G35" i="13"/>
  <c r="F94" i="14"/>
  <c r="F95" i="14"/>
  <c r="D95" i="14"/>
  <c r="D96" i="14"/>
  <c r="G94" i="14"/>
  <c r="Z25" i="9"/>
  <c r="DW25" i="2" s="1"/>
  <c r="F28" i="11"/>
  <c r="F29" i="11"/>
  <c r="F43" i="18"/>
  <c r="F44" i="18"/>
  <c r="D44" i="18"/>
  <c r="D45" i="18"/>
  <c r="G43" i="18"/>
  <c r="G48" i="18"/>
  <c r="F48" i="18"/>
  <c r="D49" i="18"/>
  <c r="D50" i="18"/>
  <c r="F53" i="18"/>
  <c r="D54" i="18"/>
  <c r="D55" i="18"/>
  <c r="G53" i="18"/>
  <c r="D72" i="14"/>
  <c r="F72" i="14"/>
  <c r="G68" i="11"/>
  <c r="AI46" i="9"/>
  <c r="D75" i="14"/>
  <c r="D76" i="14"/>
  <c r="G48" i="11"/>
  <c r="G77" i="11"/>
  <c r="G73" i="18"/>
  <c r="F77" i="11"/>
  <c r="B62" i="11"/>
  <c r="C77" i="11"/>
  <c r="F75" i="14"/>
  <c r="B27" i="11"/>
  <c r="D83" i="11"/>
  <c r="G28" i="12"/>
  <c r="D90" i="14"/>
  <c r="D91" i="14"/>
  <c r="D64" i="18"/>
  <c r="D65" i="18"/>
  <c r="AO25" i="9"/>
  <c r="EL25" i="2" s="1"/>
  <c r="Y25" i="9"/>
  <c r="DV25" i="2" s="1"/>
  <c r="Y33" i="9"/>
  <c r="DV33" i="2" s="1"/>
  <c r="B82" i="11"/>
  <c r="D63" i="11"/>
  <c r="E82" i="11"/>
  <c r="C87" i="11"/>
  <c r="C22" i="12"/>
  <c r="F64" i="18"/>
  <c r="D69" i="11"/>
  <c r="D70" i="11"/>
  <c r="AD25" i="9"/>
  <c r="F35" i="11"/>
  <c r="D59" i="12"/>
  <c r="D60" i="12"/>
  <c r="C62" i="11"/>
  <c r="F62" i="11"/>
  <c r="D24" i="12"/>
  <c r="D25" i="12"/>
  <c r="G27" i="12"/>
  <c r="L32" i="9"/>
  <c r="DH32" i="2" s="1"/>
  <c r="V40" i="9"/>
  <c r="DD34" i="2" s="1"/>
  <c r="GZ34" i="2" s="1"/>
  <c r="V45" i="9"/>
  <c r="DD45" i="2" s="1"/>
  <c r="GZ45" i="2" s="1"/>
  <c r="V37" i="9"/>
  <c r="V39" i="9"/>
  <c r="DD40" i="2" s="1"/>
  <c r="GZ40" i="2" s="1"/>
  <c r="L57" i="9"/>
  <c r="V57" i="9"/>
  <c r="L25" i="9"/>
  <c r="X39" i="9"/>
  <c r="DF40" i="2" s="1"/>
  <c r="HB40" i="2" s="1"/>
  <c r="X27" i="9"/>
  <c r="DF27" i="2" s="1"/>
  <c r="HB27" i="2" s="1"/>
  <c r="V29" i="9"/>
  <c r="DD29" i="2" s="1"/>
  <c r="GZ29" i="2" s="1"/>
  <c r="X36" i="9"/>
  <c r="DF36" i="2" s="1"/>
  <c r="HB36" i="2" s="1"/>
  <c r="W37" i="9"/>
  <c r="DE37" i="2" s="1"/>
  <c r="HA37" i="2" s="1"/>
  <c r="X37" i="9"/>
  <c r="DF37" i="2" s="1"/>
  <c r="HB37" i="2" s="1"/>
  <c r="W39" i="9"/>
  <c r="DE40" i="2" s="1"/>
  <c r="HA40" i="2" s="1"/>
  <c r="W45" i="9"/>
  <c r="DE45" i="2" s="1"/>
  <c r="HA45" i="2" s="1"/>
  <c r="X45" i="9"/>
  <c r="X47" i="9"/>
  <c r="DF47" i="2" s="1"/>
  <c r="HB47" i="2" s="1"/>
  <c r="X48" i="9"/>
  <c r="DF54" i="2" s="1"/>
  <c r="HB54" i="2" s="1"/>
  <c r="X59" i="9"/>
  <c r="DF59" i="2" s="1"/>
  <c r="HB59" i="2" s="1"/>
  <c r="X69" i="9"/>
  <c r="T11" i="9"/>
  <c r="DU11" i="2" s="1"/>
  <c r="U12" i="9"/>
  <c r="DC12" i="2" s="1"/>
  <c r="GY12" i="2" s="1"/>
  <c r="V13" i="9"/>
  <c r="DD13" i="2" s="1"/>
  <c r="GZ13" i="2" s="1"/>
  <c r="X13" i="9"/>
  <c r="DF13" i="2" s="1"/>
  <c r="HB13" i="2" s="1"/>
  <c r="X14" i="9"/>
  <c r="DF14" i="2" s="1"/>
  <c r="HB14" i="2" s="1"/>
  <c r="X16" i="9"/>
  <c r="DF16" i="2" s="1"/>
  <c r="HB16" i="2" s="1"/>
  <c r="X18" i="9"/>
  <c r="DF18" i="2" s="1"/>
  <c r="HB18" i="2" s="1"/>
  <c r="W20" i="9"/>
  <c r="DE20" i="2" s="1"/>
  <c r="HA20" i="2" s="1"/>
  <c r="W21" i="9"/>
  <c r="DE21" i="2" s="1"/>
  <c r="HA21" i="2" s="1"/>
  <c r="V25" i="9"/>
  <c r="DD25" i="2" s="1"/>
  <c r="GZ25" i="2" s="1"/>
  <c r="W25" i="9"/>
  <c r="DE25" i="2" s="1"/>
  <c r="HA25" i="2" s="1"/>
  <c r="X25" i="9"/>
  <c r="DF25" i="2" s="1"/>
  <c r="HB25" i="2" s="1"/>
  <c r="V27" i="9"/>
  <c r="DD27" i="2" s="1"/>
  <c r="GZ27" i="2" s="1"/>
  <c r="V28" i="9"/>
  <c r="DD28" i="2" s="1"/>
  <c r="GZ28" i="2" s="1"/>
  <c r="X28" i="9"/>
  <c r="DF28" i="2" s="1"/>
  <c r="HB28" i="2" s="1"/>
  <c r="X29" i="9"/>
  <c r="DF29" i="2" s="1"/>
  <c r="HB29" i="2" s="1"/>
  <c r="V30" i="9"/>
  <c r="DD30" i="2" s="1"/>
  <c r="GZ30" i="2" s="1"/>
  <c r="X30" i="9"/>
  <c r="DF30" i="2" s="1"/>
  <c r="HB30" i="2" s="1"/>
  <c r="U31" i="9"/>
  <c r="DC31" i="2" s="1"/>
  <c r="GY31" i="2" s="1"/>
  <c r="V31" i="9"/>
  <c r="DD31" i="2" s="1"/>
  <c r="GZ31" i="2" s="1"/>
  <c r="X31" i="9"/>
  <c r="DF31" i="2" s="1"/>
  <c r="HB31" i="2" s="1"/>
  <c r="U32" i="9"/>
  <c r="DC32" i="2" s="1"/>
  <c r="GY32" i="2" s="1"/>
  <c r="V32" i="9"/>
  <c r="DD32" i="2" s="1"/>
  <c r="GZ32" i="2" s="1"/>
  <c r="U36" i="9"/>
  <c r="DC36" i="2" s="1"/>
  <c r="GY36" i="2" s="1"/>
  <c r="V36" i="9"/>
  <c r="DD36" i="2" s="1"/>
  <c r="GZ36" i="2" s="1"/>
  <c r="U37" i="9"/>
  <c r="DC37" i="2" s="1"/>
  <c r="GY37" i="2" s="1"/>
  <c r="U39" i="9"/>
  <c r="DC40" i="2" s="1"/>
  <c r="GY40" i="2" s="1"/>
  <c r="U41" i="9"/>
  <c r="DC35" i="2" s="1"/>
  <c r="GY35" i="2" s="1"/>
  <c r="U45" i="9"/>
  <c r="DC45" i="2" s="1"/>
  <c r="GY45" i="2" s="1"/>
  <c r="U58" i="9"/>
  <c r="U59" i="9"/>
  <c r="DC59" i="2" s="1"/>
  <c r="GY59" i="2" s="1"/>
  <c r="U63" i="9"/>
  <c r="DC62" i="2" s="1"/>
  <c r="GY62" i="2" s="1"/>
  <c r="U67" i="9"/>
  <c r="DC67" i="2" s="1"/>
  <c r="GY67" i="2" s="1"/>
  <c r="HC7" i="2"/>
  <c r="HD7" i="2"/>
  <c r="HE7" i="2"/>
  <c r="HF7" i="2"/>
  <c r="HG7" i="2"/>
  <c r="HH7" i="2"/>
  <c r="HI7" i="2"/>
  <c r="HJ7" i="2"/>
  <c r="HK7" i="2"/>
  <c r="HL7" i="2"/>
  <c r="HM7" i="2"/>
  <c r="HN7" i="2"/>
  <c r="HO7" i="2"/>
  <c r="HP7" i="2"/>
  <c r="HQ7" i="2"/>
  <c r="HR7" i="2"/>
  <c r="HS7" i="2"/>
  <c r="HT7" i="2"/>
  <c r="HU7" i="2"/>
  <c r="HV7" i="2"/>
  <c r="HW7" i="2"/>
  <c r="HX7" i="2"/>
  <c r="HC8" i="2"/>
  <c r="HD8" i="2"/>
  <c r="HE8" i="2"/>
  <c r="HF8" i="2"/>
  <c r="HG8" i="2"/>
  <c r="HH8" i="2"/>
  <c r="HI8" i="2"/>
  <c r="HJ8" i="2"/>
  <c r="HK8" i="2"/>
  <c r="HL8" i="2"/>
  <c r="HM8" i="2"/>
  <c r="HN8" i="2"/>
  <c r="HO8" i="2"/>
  <c r="HP8" i="2"/>
  <c r="HQ8" i="2"/>
  <c r="HR8" i="2"/>
  <c r="HS8" i="2"/>
  <c r="HT8" i="2"/>
  <c r="HU8" i="2"/>
  <c r="HV8" i="2"/>
  <c r="HW8" i="2"/>
  <c r="HX8" i="2"/>
  <c r="HC9" i="2"/>
  <c r="HD9" i="2"/>
  <c r="HE9" i="2"/>
  <c r="HF9" i="2"/>
  <c r="HG9" i="2"/>
  <c r="HH9" i="2"/>
  <c r="HI9" i="2"/>
  <c r="HJ9" i="2"/>
  <c r="HK9" i="2"/>
  <c r="HL9" i="2"/>
  <c r="HM9" i="2"/>
  <c r="HN9" i="2"/>
  <c r="HO9" i="2"/>
  <c r="HP9" i="2"/>
  <c r="HQ9" i="2"/>
  <c r="HR9" i="2"/>
  <c r="HS9" i="2"/>
  <c r="HT9" i="2"/>
  <c r="HU9" i="2"/>
  <c r="HV9" i="2"/>
  <c r="HW9" i="2"/>
  <c r="HX9" i="2"/>
  <c r="HC10" i="2"/>
  <c r="HD10" i="2"/>
  <c r="HE10" i="2"/>
  <c r="HF10" i="2"/>
  <c r="HG10" i="2"/>
  <c r="HH10" i="2"/>
  <c r="HI10" i="2"/>
  <c r="HJ10" i="2"/>
  <c r="HK10" i="2"/>
  <c r="HL10" i="2"/>
  <c r="HM10" i="2"/>
  <c r="HN10" i="2"/>
  <c r="HO10" i="2"/>
  <c r="HP10" i="2"/>
  <c r="HQ10" i="2"/>
  <c r="HR10" i="2"/>
  <c r="HS10" i="2"/>
  <c r="HT10" i="2"/>
  <c r="HU10" i="2"/>
  <c r="HV10" i="2"/>
  <c r="HW10" i="2"/>
  <c r="HX10" i="2"/>
  <c r="HC11" i="2"/>
  <c r="HD11" i="2"/>
  <c r="HE11" i="2"/>
  <c r="HF11" i="2"/>
  <c r="HG11" i="2"/>
  <c r="HH11" i="2"/>
  <c r="HI11" i="2"/>
  <c r="HJ11" i="2"/>
  <c r="HK11" i="2"/>
  <c r="HL11" i="2"/>
  <c r="HM11" i="2"/>
  <c r="HN11" i="2"/>
  <c r="HO11" i="2"/>
  <c r="HP11" i="2"/>
  <c r="HQ11" i="2"/>
  <c r="HR11" i="2"/>
  <c r="HS11" i="2"/>
  <c r="HT11" i="2"/>
  <c r="HU11" i="2"/>
  <c r="HV11" i="2"/>
  <c r="HW11" i="2"/>
  <c r="HX11" i="2"/>
  <c r="HC12" i="2"/>
  <c r="HD12" i="2"/>
  <c r="HE12" i="2"/>
  <c r="HF12" i="2"/>
  <c r="HG12" i="2"/>
  <c r="HH12" i="2"/>
  <c r="HI12" i="2"/>
  <c r="HJ12" i="2"/>
  <c r="HK12" i="2"/>
  <c r="HL12" i="2"/>
  <c r="HM12" i="2"/>
  <c r="HN12" i="2"/>
  <c r="HO12" i="2"/>
  <c r="HP12" i="2"/>
  <c r="HQ12" i="2"/>
  <c r="HR12" i="2"/>
  <c r="HS12" i="2"/>
  <c r="HT12" i="2"/>
  <c r="HU12" i="2"/>
  <c r="HV12" i="2"/>
  <c r="HW12" i="2"/>
  <c r="HX12" i="2"/>
  <c r="HC13" i="2"/>
  <c r="HD13" i="2"/>
  <c r="HE13" i="2"/>
  <c r="HF13" i="2"/>
  <c r="HG13" i="2"/>
  <c r="HH13" i="2"/>
  <c r="HI13" i="2"/>
  <c r="HJ13" i="2"/>
  <c r="HK13" i="2"/>
  <c r="HL13" i="2"/>
  <c r="HM13" i="2"/>
  <c r="HN13" i="2"/>
  <c r="HO13" i="2"/>
  <c r="HP13" i="2"/>
  <c r="HQ13" i="2"/>
  <c r="HR13" i="2"/>
  <c r="HS13" i="2"/>
  <c r="HT13" i="2"/>
  <c r="HU13" i="2"/>
  <c r="HV13" i="2"/>
  <c r="HW13" i="2"/>
  <c r="HX13" i="2"/>
  <c r="HC14" i="2"/>
  <c r="HD14" i="2"/>
  <c r="HE14" i="2"/>
  <c r="HF14" i="2"/>
  <c r="HG14" i="2"/>
  <c r="HH14" i="2"/>
  <c r="HI14" i="2"/>
  <c r="HJ14" i="2"/>
  <c r="HK14" i="2"/>
  <c r="HL14" i="2"/>
  <c r="HM14" i="2"/>
  <c r="HN14" i="2"/>
  <c r="HO14" i="2"/>
  <c r="HP14" i="2"/>
  <c r="HQ14" i="2"/>
  <c r="HR14" i="2"/>
  <c r="HS14" i="2"/>
  <c r="HT14" i="2"/>
  <c r="HU14" i="2"/>
  <c r="HV14" i="2"/>
  <c r="HW14" i="2"/>
  <c r="HX14" i="2"/>
  <c r="HC15" i="2"/>
  <c r="HD15" i="2"/>
  <c r="HE15" i="2"/>
  <c r="HF15" i="2"/>
  <c r="HG15" i="2"/>
  <c r="HH15" i="2"/>
  <c r="HI15" i="2"/>
  <c r="HJ15" i="2"/>
  <c r="HK15" i="2"/>
  <c r="HL15" i="2"/>
  <c r="HM15" i="2"/>
  <c r="HN15" i="2"/>
  <c r="HO15" i="2"/>
  <c r="HP15" i="2"/>
  <c r="HQ15" i="2"/>
  <c r="HR15" i="2"/>
  <c r="HS15" i="2"/>
  <c r="HT15" i="2"/>
  <c r="HU15" i="2"/>
  <c r="HV15" i="2"/>
  <c r="HW15" i="2"/>
  <c r="HX15" i="2"/>
  <c r="HC16" i="2"/>
  <c r="HD16" i="2"/>
  <c r="HE16" i="2"/>
  <c r="HF16" i="2"/>
  <c r="HG16" i="2"/>
  <c r="HH16" i="2"/>
  <c r="HI16" i="2"/>
  <c r="HJ16" i="2"/>
  <c r="HK16" i="2"/>
  <c r="HL16" i="2"/>
  <c r="HM16" i="2"/>
  <c r="HN16" i="2"/>
  <c r="HO16" i="2"/>
  <c r="HP16" i="2"/>
  <c r="HQ16" i="2"/>
  <c r="HR16" i="2"/>
  <c r="HS16" i="2"/>
  <c r="HT16" i="2"/>
  <c r="HU16" i="2"/>
  <c r="HV16" i="2"/>
  <c r="HW16" i="2"/>
  <c r="HX16" i="2"/>
  <c r="HC17" i="2"/>
  <c r="HD17" i="2"/>
  <c r="HE17" i="2"/>
  <c r="HF17" i="2"/>
  <c r="HG17" i="2"/>
  <c r="HH17" i="2"/>
  <c r="HI17" i="2"/>
  <c r="HJ17" i="2"/>
  <c r="HK17" i="2"/>
  <c r="HL17" i="2"/>
  <c r="HM17" i="2"/>
  <c r="HN17" i="2"/>
  <c r="HO17" i="2"/>
  <c r="HP17" i="2"/>
  <c r="HQ17" i="2"/>
  <c r="HR17" i="2"/>
  <c r="HS17" i="2"/>
  <c r="HT17" i="2"/>
  <c r="HU17" i="2"/>
  <c r="HV17" i="2"/>
  <c r="HW17" i="2"/>
  <c r="HX17" i="2"/>
  <c r="HC18" i="2"/>
  <c r="HD18" i="2"/>
  <c r="HE18" i="2"/>
  <c r="HF18" i="2"/>
  <c r="HG18" i="2"/>
  <c r="HH18" i="2"/>
  <c r="HI18" i="2"/>
  <c r="HJ18" i="2"/>
  <c r="HK18" i="2"/>
  <c r="HL18" i="2"/>
  <c r="HM18" i="2"/>
  <c r="HN18" i="2"/>
  <c r="HO18" i="2"/>
  <c r="HP18" i="2"/>
  <c r="HQ18" i="2"/>
  <c r="HR18" i="2"/>
  <c r="HS18" i="2"/>
  <c r="HT18" i="2"/>
  <c r="HU18" i="2"/>
  <c r="HV18" i="2"/>
  <c r="HW18" i="2"/>
  <c r="HX18" i="2"/>
  <c r="HC19" i="2"/>
  <c r="HD19" i="2"/>
  <c r="HE19" i="2"/>
  <c r="HF19" i="2"/>
  <c r="HG19" i="2"/>
  <c r="HH19" i="2"/>
  <c r="HI19" i="2"/>
  <c r="HJ19" i="2"/>
  <c r="HK19" i="2"/>
  <c r="HL19" i="2"/>
  <c r="HM19" i="2"/>
  <c r="HN19" i="2"/>
  <c r="HO19" i="2"/>
  <c r="HP19" i="2"/>
  <c r="HQ19" i="2"/>
  <c r="HR19" i="2"/>
  <c r="HS19" i="2"/>
  <c r="HT19" i="2"/>
  <c r="HU19" i="2"/>
  <c r="HV19" i="2"/>
  <c r="HW19" i="2"/>
  <c r="HX19" i="2"/>
  <c r="HC20" i="2"/>
  <c r="HD20" i="2"/>
  <c r="HE20" i="2"/>
  <c r="HF20" i="2"/>
  <c r="HG20" i="2"/>
  <c r="HH20" i="2"/>
  <c r="HI20" i="2"/>
  <c r="HJ20" i="2"/>
  <c r="HK20" i="2"/>
  <c r="HL20" i="2"/>
  <c r="HM20" i="2"/>
  <c r="HN20" i="2"/>
  <c r="HO20" i="2"/>
  <c r="HP20" i="2"/>
  <c r="HQ20" i="2"/>
  <c r="HR20" i="2"/>
  <c r="HS20" i="2"/>
  <c r="HT20" i="2"/>
  <c r="HU20" i="2"/>
  <c r="HV20" i="2"/>
  <c r="HW20" i="2"/>
  <c r="HX20" i="2"/>
  <c r="HC21" i="2"/>
  <c r="HD21" i="2"/>
  <c r="HE21" i="2"/>
  <c r="HF21" i="2"/>
  <c r="HG21" i="2"/>
  <c r="HH21" i="2"/>
  <c r="HI21" i="2"/>
  <c r="HJ21" i="2"/>
  <c r="HK21" i="2"/>
  <c r="HL21" i="2"/>
  <c r="HM21" i="2"/>
  <c r="HN21" i="2"/>
  <c r="HO21" i="2"/>
  <c r="HP21" i="2"/>
  <c r="HQ21" i="2"/>
  <c r="HR21" i="2"/>
  <c r="HS21" i="2"/>
  <c r="HT21" i="2"/>
  <c r="HU21" i="2"/>
  <c r="HV21" i="2"/>
  <c r="HW21" i="2"/>
  <c r="HX21" i="2"/>
  <c r="HC22" i="2"/>
  <c r="HD22" i="2"/>
  <c r="HE22" i="2"/>
  <c r="HF22" i="2"/>
  <c r="HG22" i="2"/>
  <c r="HH22" i="2"/>
  <c r="HI22" i="2"/>
  <c r="HJ22" i="2"/>
  <c r="HK22" i="2"/>
  <c r="HL22" i="2"/>
  <c r="HM22" i="2"/>
  <c r="HN22" i="2"/>
  <c r="HO22" i="2"/>
  <c r="HP22" i="2"/>
  <c r="HQ22" i="2"/>
  <c r="HR22" i="2"/>
  <c r="HS22" i="2"/>
  <c r="HT22" i="2"/>
  <c r="HU22" i="2"/>
  <c r="HV22" i="2"/>
  <c r="HW22" i="2"/>
  <c r="HX22" i="2"/>
  <c r="HC23" i="2"/>
  <c r="HD23" i="2"/>
  <c r="HE23" i="2"/>
  <c r="HF23" i="2"/>
  <c r="HG23" i="2"/>
  <c r="HH23" i="2"/>
  <c r="HI23" i="2"/>
  <c r="HJ23" i="2"/>
  <c r="HK23" i="2"/>
  <c r="HL23" i="2"/>
  <c r="HM23" i="2"/>
  <c r="HN23" i="2"/>
  <c r="HO23" i="2"/>
  <c r="HP23" i="2"/>
  <c r="HQ23" i="2"/>
  <c r="HR23" i="2"/>
  <c r="HS23" i="2"/>
  <c r="HT23" i="2"/>
  <c r="HU23" i="2"/>
  <c r="HV23" i="2"/>
  <c r="HW23" i="2"/>
  <c r="HX23" i="2"/>
  <c r="HC24" i="2"/>
  <c r="HD24" i="2"/>
  <c r="HE24" i="2"/>
  <c r="HF24" i="2"/>
  <c r="HG24" i="2"/>
  <c r="HH24" i="2"/>
  <c r="HI24" i="2"/>
  <c r="HJ24" i="2"/>
  <c r="HK24" i="2"/>
  <c r="HL24" i="2"/>
  <c r="HM24" i="2"/>
  <c r="HN24" i="2"/>
  <c r="HO24" i="2"/>
  <c r="HP24" i="2"/>
  <c r="HQ24" i="2"/>
  <c r="HR24" i="2"/>
  <c r="HS24" i="2"/>
  <c r="HT24" i="2"/>
  <c r="HU24" i="2"/>
  <c r="HV24" i="2"/>
  <c r="HW24" i="2"/>
  <c r="HX24" i="2"/>
  <c r="HC25" i="2"/>
  <c r="HD25" i="2"/>
  <c r="HE25" i="2"/>
  <c r="HF25" i="2"/>
  <c r="HG25" i="2"/>
  <c r="HH25" i="2"/>
  <c r="HI25" i="2"/>
  <c r="HJ25" i="2"/>
  <c r="HK25" i="2"/>
  <c r="HL25" i="2"/>
  <c r="HM25" i="2"/>
  <c r="HN25" i="2"/>
  <c r="HO25" i="2"/>
  <c r="HP25" i="2"/>
  <c r="HQ25" i="2"/>
  <c r="HR25" i="2"/>
  <c r="HS25" i="2"/>
  <c r="HT25" i="2"/>
  <c r="HU25" i="2"/>
  <c r="HV25" i="2"/>
  <c r="HW25" i="2"/>
  <c r="HX25" i="2"/>
  <c r="HC26" i="2"/>
  <c r="HD26" i="2"/>
  <c r="HE26" i="2"/>
  <c r="HF26" i="2"/>
  <c r="HG26" i="2"/>
  <c r="HH26" i="2"/>
  <c r="HI26" i="2"/>
  <c r="HJ26" i="2"/>
  <c r="HK26" i="2"/>
  <c r="HL26" i="2"/>
  <c r="HM26" i="2"/>
  <c r="HN26" i="2"/>
  <c r="HO26" i="2"/>
  <c r="HP26" i="2"/>
  <c r="HQ26" i="2"/>
  <c r="HR26" i="2"/>
  <c r="HS26" i="2"/>
  <c r="HT26" i="2"/>
  <c r="HU26" i="2"/>
  <c r="HV26" i="2"/>
  <c r="HW26" i="2"/>
  <c r="HX26" i="2"/>
  <c r="HC27" i="2"/>
  <c r="HD27" i="2"/>
  <c r="HE27" i="2"/>
  <c r="HF27" i="2"/>
  <c r="HG27" i="2"/>
  <c r="HH27" i="2"/>
  <c r="HI27" i="2"/>
  <c r="HJ27" i="2"/>
  <c r="HK27" i="2"/>
  <c r="HL27" i="2"/>
  <c r="HM27" i="2"/>
  <c r="HN27" i="2"/>
  <c r="HO27" i="2"/>
  <c r="HP27" i="2"/>
  <c r="HQ27" i="2"/>
  <c r="HR27" i="2"/>
  <c r="HS27" i="2"/>
  <c r="HT27" i="2"/>
  <c r="HU27" i="2"/>
  <c r="HV27" i="2"/>
  <c r="HW27" i="2"/>
  <c r="HX27" i="2"/>
  <c r="HC28" i="2"/>
  <c r="HD28" i="2"/>
  <c r="HE28" i="2"/>
  <c r="HF28" i="2"/>
  <c r="HG28" i="2"/>
  <c r="HH28" i="2"/>
  <c r="HI28" i="2"/>
  <c r="HJ28" i="2"/>
  <c r="HK28" i="2"/>
  <c r="HL28" i="2"/>
  <c r="HM28" i="2"/>
  <c r="HN28" i="2"/>
  <c r="HO28" i="2"/>
  <c r="HP28" i="2"/>
  <c r="HQ28" i="2"/>
  <c r="HR28" i="2"/>
  <c r="HS28" i="2"/>
  <c r="HT28" i="2"/>
  <c r="HU28" i="2"/>
  <c r="HV28" i="2"/>
  <c r="HW28" i="2"/>
  <c r="HX28" i="2"/>
  <c r="HC29" i="2"/>
  <c r="HD29" i="2"/>
  <c r="HE29" i="2"/>
  <c r="HF29" i="2"/>
  <c r="HG29" i="2"/>
  <c r="HH29" i="2"/>
  <c r="HI29" i="2"/>
  <c r="HJ29" i="2"/>
  <c r="HK29" i="2"/>
  <c r="HL29" i="2"/>
  <c r="HM29" i="2"/>
  <c r="HN29" i="2"/>
  <c r="HO29" i="2"/>
  <c r="HP29" i="2"/>
  <c r="HQ29" i="2"/>
  <c r="HR29" i="2"/>
  <c r="HS29" i="2"/>
  <c r="HT29" i="2"/>
  <c r="HU29" i="2"/>
  <c r="HV29" i="2"/>
  <c r="HW29" i="2"/>
  <c r="HX29" i="2"/>
  <c r="HC30" i="2"/>
  <c r="HD30" i="2"/>
  <c r="HE30" i="2"/>
  <c r="HF30" i="2"/>
  <c r="HG30" i="2"/>
  <c r="HH30" i="2"/>
  <c r="HI30" i="2"/>
  <c r="HJ30" i="2"/>
  <c r="HK30" i="2"/>
  <c r="HL30" i="2"/>
  <c r="HM30" i="2"/>
  <c r="HN30" i="2"/>
  <c r="HO30" i="2"/>
  <c r="HP30" i="2"/>
  <c r="HQ30" i="2"/>
  <c r="HR30" i="2"/>
  <c r="HS30" i="2"/>
  <c r="HT30" i="2"/>
  <c r="HU30" i="2"/>
  <c r="HV30" i="2"/>
  <c r="HW30" i="2"/>
  <c r="HX30" i="2"/>
  <c r="HC31" i="2"/>
  <c r="HD31" i="2"/>
  <c r="HE31" i="2"/>
  <c r="HF31" i="2"/>
  <c r="HG31" i="2"/>
  <c r="HH31" i="2"/>
  <c r="HI31" i="2"/>
  <c r="HJ31" i="2"/>
  <c r="HK31" i="2"/>
  <c r="HL31" i="2"/>
  <c r="HM31" i="2"/>
  <c r="HN31" i="2"/>
  <c r="HO31" i="2"/>
  <c r="HP31" i="2"/>
  <c r="HQ31" i="2"/>
  <c r="HR31" i="2"/>
  <c r="HS31" i="2"/>
  <c r="HT31" i="2"/>
  <c r="HU31" i="2"/>
  <c r="HV31" i="2"/>
  <c r="HW31" i="2"/>
  <c r="HX31" i="2"/>
  <c r="HC32" i="2"/>
  <c r="HD32" i="2"/>
  <c r="HE32" i="2"/>
  <c r="HF32" i="2"/>
  <c r="HG32" i="2"/>
  <c r="HH32" i="2"/>
  <c r="HI32" i="2"/>
  <c r="HJ32" i="2"/>
  <c r="HK32" i="2"/>
  <c r="HL32" i="2"/>
  <c r="HM32" i="2"/>
  <c r="HN32" i="2"/>
  <c r="HO32" i="2"/>
  <c r="HP32" i="2"/>
  <c r="HQ32" i="2"/>
  <c r="HR32" i="2"/>
  <c r="HS32" i="2"/>
  <c r="HT32" i="2"/>
  <c r="HU32" i="2"/>
  <c r="HV32" i="2"/>
  <c r="HW32" i="2"/>
  <c r="HX32" i="2"/>
  <c r="HC33" i="2"/>
  <c r="HD33" i="2"/>
  <c r="HE33" i="2"/>
  <c r="HF33" i="2"/>
  <c r="HG33" i="2"/>
  <c r="HH33" i="2"/>
  <c r="HI33" i="2"/>
  <c r="HJ33" i="2"/>
  <c r="HK33" i="2"/>
  <c r="HL33" i="2"/>
  <c r="HM33" i="2"/>
  <c r="HN33" i="2"/>
  <c r="HO33" i="2"/>
  <c r="HP33" i="2"/>
  <c r="HQ33" i="2"/>
  <c r="HR33" i="2"/>
  <c r="HS33" i="2"/>
  <c r="HT33" i="2"/>
  <c r="HU33" i="2"/>
  <c r="HV33" i="2"/>
  <c r="HW33" i="2"/>
  <c r="HX33" i="2"/>
  <c r="HC34" i="2"/>
  <c r="HD34" i="2"/>
  <c r="E56" i="10" s="1"/>
  <c r="HE34" i="2"/>
  <c r="HF34" i="2"/>
  <c r="HG34" i="2"/>
  <c r="HH34" i="2"/>
  <c r="HI34" i="2"/>
  <c r="HJ34" i="2"/>
  <c r="E62" i="10" s="1"/>
  <c r="HK34" i="2"/>
  <c r="HL34" i="2"/>
  <c r="HM34" i="2"/>
  <c r="HN34" i="2"/>
  <c r="HO34" i="2"/>
  <c r="HP34" i="2"/>
  <c r="HQ34" i="2"/>
  <c r="HR34" i="2"/>
  <c r="HS34" i="2"/>
  <c r="HT34" i="2"/>
  <c r="G61" i="10" s="1"/>
  <c r="HU34" i="2"/>
  <c r="HV34" i="2"/>
  <c r="HW34" i="2"/>
  <c r="HX34" i="2"/>
  <c r="HC35" i="2"/>
  <c r="HD35" i="2"/>
  <c r="HE35" i="2"/>
  <c r="HF35" i="2"/>
  <c r="HG35" i="2"/>
  <c r="HH35" i="2"/>
  <c r="HI35" i="2"/>
  <c r="HJ35" i="2"/>
  <c r="HK35" i="2"/>
  <c r="HL35" i="2"/>
  <c r="HM35" i="2"/>
  <c r="HN35" i="2"/>
  <c r="HO35" i="2"/>
  <c r="HP35" i="2"/>
  <c r="HQ35" i="2"/>
  <c r="HR35" i="2"/>
  <c r="HS35" i="2"/>
  <c r="HT35" i="2"/>
  <c r="HU35" i="2"/>
  <c r="HV35" i="2"/>
  <c r="HW35" i="2"/>
  <c r="HX35" i="2"/>
  <c r="HC36" i="2"/>
  <c r="HD36" i="2"/>
  <c r="HE36" i="2"/>
  <c r="HF36" i="2"/>
  <c r="HG36" i="2"/>
  <c r="HH36" i="2"/>
  <c r="HI36" i="2"/>
  <c r="HJ36" i="2"/>
  <c r="HK36" i="2"/>
  <c r="HL36" i="2"/>
  <c r="HM36" i="2"/>
  <c r="HN36" i="2"/>
  <c r="HO36" i="2"/>
  <c r="HP36" i="2"/>
  <c r="HQ36" i="2"/>
  <c r="HR36" i="2"/>
  <c r="HS36" i="2"/>
  <c r="HT36" i="2"/>
  <c r="HU36" i="2"/>
  <c r="HV36" i="2"/>
  <c r="HW36" i="2"/>
  <c r="HX36" i="2"/>
  <c r="HC37" i="2"/>
  <c r="HD37" i="2"/>
  <c r="HE37" i="2"/>
  <c r="HF37" i="2"/>
  <c r="HG37" i="2"/>
  <c r="HH37" i="2"/>
  <c r="HI37" i="2"/>
  <c r="HJ37" i="2"/>
  <c r="HK37" i="2"/>
  <c r="HL37" i="2"/>
  <c r="HM37" i="2"/>
  <c r="HN37" i="2"/>
  <c r="HO37" i="2"/>
  <c r="HP37" i="2"/>
  <c r="HQ37" i="2"/>
  <c r="HR37" i="2"/>
  <c r="HS37" i="2"/>
  <c r="HT37" i="2"/>
  <c r="HU37" i="2"/>
  <c r="HV37" i="2"/>
  <c r="HW37" i="2"/>
  <c r="HX37" i="2"/>
  <c r="HC38" i="2"/>
  <c r="HD38" i="2"/>
  <c r="HE38" i="2"/>
  <c r="HF38" i="2"/>
  <c r="HG38" i="2"/>
  <c r="HH38" i="2"/>
  <c r="HI38" i="2"/>
  <c r="HJ38" i="2"/>
  <c r="HK38" i="2"/>
  <c r="HL38" i="2"/>
  <c r="HM38" i="2"/>
  <c r="HN38" i="2"/>
  <c r="HO38" i="2"/>
  <c r="HP38" i="2"/>
  <c r="HQ38" i="2"/>
  <c r="HR38" i="2"/>
  <c r="HS38" i="2"/>
  <c r="HT38" i="2"/>
  <c r="HU38" i="2"/>
  <c r="HV38" i="2"/>
  <c r="HW38" i="2"/>
  <c r="HX38" i="2"/>
  <c r="HC39" i="2"/>
  <c r="HD39" i="2"/>
  <c r="HE39" i="2"/>
  <c r="HF39" i="2"/>
  <c r="HG39" i="2"/>
  <c r="HH39" i="2"/>
  <c r="HI39" i="2"/>
  <c r="HJ39" i="2"/>
  <c r="HK39" i="2"/>
  <c r="HL39" i="2"/>
  <c r="HM39" i="2"/>
  <c r="HN39" i="2"/>
  <c r="HO39" i="2"/>
  <c r="HP39" i="2"/>
  <c r="HQ39" i="2"/>
  <c r="HR39" i="2"/>
  <c r="HS39" i="2"/>
  <c r="HT39" i="2"/>
  <c r="HU39" i="2"/>
  <c r="HV39" i="2"/>
  <c r="HW39" i="2"/>
  <c r="HX39" i="2"/>
  <c r="HC40" i="2"/>
  <c r="HD40" i="2"/>
  <c r="HE40" i="2"/>
  <c r="HF40" i="2"/>
  <c r="HG40" i="2"/>
  <c r="HH40" i="2"/>
  <c r="HI40" i="2"/>
  <c r="HJ40" i="2"/>
  <c r="HK40" i="2"/>
  <c r="HL40" i="2"/>
  <c r="HM40" i="2"/>
  <c r="HN40" i="2"/>
  <c r="HO40" i="2"/>
  <c r="HP40" i="2"/>
  <c r="HQ40" i="2"/>
  <c r="HR40" i="2"/>
  <c r="HS40" i="2"/>
  <c r="HT40" i="2"/>
  <c r="HU40" i="2"/>
  <c r="HV40" i="2"/>
  <c r="HW40" i="2"/>
  <c r="HX40" i="2"/>
  <c r="HC41" i="2"/>
  <c r="HD41" i="2"/>
  <c r="HE41" i="2"/>
  <c r="HF41" i="2"/>
  <c r="HG41" i="2"/>
  <c r="HH41" i="2"/>
  <c r="HI41" i="2"/>
  <c r="HJ41" i="2"/>
  <c r="HK41" i="2"/>
  <c r="HL41" i="2"/>
  <c r="HM41" i="2"/>
  <c r="HN41" i="2"/>
  <c r="HO41" i="2"/>
  <c r="HP41" i="2"/>
  <c r="HQ41" i="2"/>
  <c r="HR41" i="2"/>
  <c r="HS41" i="2"/>
  <c r="HT41" i="2"/>
  <c r="HU41" i="2"/>
  <c r="HV41" i="2"/>
  <c r="HW41" i="2"/>
  <c r="HX41" i="2"/>
  <c r="HC42" i="2"/>
  <c r="HD42" i="2"/>
  <c r="HE42" i="2"/>
  <c r="HF42" i="2"/>
  <c r="HG42" i="2"/>
  <c r="HH42" i="2"/>
  <c r="HI42" i="2"/>
  <c r="HJ42" i="2"/>
  <c r="HK42" i="2"/>
  <c r="HL42" i="2"/>
  <c r="HM42" i="2"/>
  <c r="HN42" i="2"/>
  <c r="HO42" i="2"/>
  <c r="HP42" i="2"/>
  <c r="HQ42" i="2"/>
  <c r="HR42" i="2"/>
  <c r="HS42" i="2"/>
  <c r="HT42" i="2"/>
  <c r="HU42" i="2"/>
  <c r="HV42" i="2"/>
  <c r="HW42" i="2"/>
  <c r="HX42" i="2"/>
  <c r="HC43" i="2"/>
  <c r="HD43" i="2"/>
  <c r="HE43" i="2"/>
  <c r="HF43" i="2"/>
  <c r="HG43" i="2"/>
  <c r="HH43" i="2"/>
  <c r="HI43" i="2"/>
  <c r="HJ43" i="2"/>
  <c r="HK43" i="2"/>
  <c r="HL43" i="2"/>
  <c r="HM43" i="2"/>
  <c r="HN43" i="2"/>
  <c r="HO43" i="2"/>
  <c r="HP43" i="2"/>
  <c r="HQ43" i="2"/>
  <c r="HR43" i="2"/>
  <c r="HS43" i="2"/>
  <c r="HT43" i="2"/>
  <c r="HU43" i="2"/>
  <c r="HV43" i="2"/>
  <c r="HW43" i="2"/>
  <c r="HX43" i="2"/>
  <c r="HC44" i="2"/>
  <c r="HD44" i="2"/>
  <c r="HE44" i="2"/>
  <c r="HF44" i="2"/>
  <c r="HG44" i="2"/>
  <c r="HH44" i="2"/>
  <c r="HI44" i="2"/>
  <c r="HJ44" i="2"/>
  <c r="HK44" i="2"/>
  <c r="HL44" i="2"/>
  <c r="HM44" i="2"/>
  <c r="HN44" i="2"/>
  <c r="HO44" i="2"/>
  <c r="HP44" i="2"/>
  <c r="HQ44" i="2"/>
  <c r="HR44" i="2"/>
  <c r="HS44" i="2"/>
  <c r="HT44" i="2"/>
  <c r="HU44" i="2"/>
  <c r="HV44" i="2"/>
  <c r="HW44" i="2"/>
  <c r="HX44" i="2"/>
  <c r="HC45" i="2"/>
  <c r="HD45" i="2"/>
  <c r="HE45" i="2"/>
  <c r="HF45" i="2"/>
  <c r="HG45" i="2"/>
  <c r="HH45" i="2"/>
  <c r="HI45" i="2"/>
  <c r="HJ45" i="2"/>
  <c r="HK45" i="2"/>
  <c r="HL45" i="2"/>
  <c r="HM45" i="2"/>
  <c r="HN45" i="2"/>
  <c r="HO45" i="2"/>
  <c r="HP45" i="2"/>
  <c r="HQ45" i="2"/>
  <c r="HR45" i="2"/>
  <c r="HS45" i="2"/>
  <c r="HT45" i="2"/>
  <c r="HU45" i="2"/>
  <c r="HV45" i="2"/>
  <c r="HW45" i="2"/>
  <c r="HX45" i="2"/>
  <c r="HC46" i="2"/>
  <c r="HD46" i="2"/>
  <c r="HE46" i="2"/>
  <c r="HF46" i="2"/>
  <c r="HG46" i="2"/>
  <c r="HH46" i="2"/>
  <c r="HI46" i="2"/>
  <c r="HJ46" i="2"/>
  <c r="HK46" i="2"/>
  <c r="HL46" i="2"/>
  <c r="HM46" i="2"/>
  <c r="HN46" i="2"/>
  <c r="HO46" i="2"/>
  <c r="HP46" i="2"/>
  <c r="HQ46" i="2"/>
  <c r="HR46" i="2"/>
  <c r="HS46" i="2"/>
  <c r="HT46" i="2"/>
  <c r="HU46" i="2"/>
  <c r="HV46" i="2"/>
  <c r="HW46" i="2"/>
  <c r="HX46" i="2"/>
  <c r="HC47" i="2"/>
  <c r="HD47" i="2"/>
  <c r="HE47" i="2"/>
  <c r="HF47" i="2"/>
  <c r="HG47" i="2"/>
  <c r="HH47" i="2"/>
  <c r="HI47" i="2"/>
  <c r="HJ47" i="2"/>
  <c r="HK47" i="2"/>
  <c r="HL47" i="2"/>
  <c r="HM47" i="2"/>
  <c r="HN47" i="2"/>
  <c r="HO47" i="2"/>
  <c r="HP47" i="2"/>
  <c r="HQ47" i="2"/>
  <c r="HR47" i="2"/>
  <c r="HS47" i="2"/>
  <c r="HT47" i="2"/>
  <c r="HU47" i="2"/>
  <c r="HV47" i="2"/>
  <c r="HW47" i="2"/>
  <c r="HX47" i="2"/>
  <c r="HC48" i="2"/>
  <c r="HD48" i="2"/>
  <c r="HE48" i="2"/>
  <c r="HF48" i="2"/>
  <c r="HG48" i="2"/>
  <c r="HH48" i="2"/>
  <c r="HI48" i="2"/>
  <c r="HJ48" i="2"/>
  <c r="HK48" i="2"/>
  <c r="HL48" i="2"/>
  <c r="HM48" i="2"/>
  <c r="HN48" i="2"/>
  <c r="HO48" i="2"/>
  <c r="HP48" i="2"/>
  <c r="HQ48" i="2"/>
  <c r="HR48" i="2"/>
  <c r="HS48" i="2"/>
  <c r="HT48" i="2"/>
  <c r="HU48" i="2"/>
  <c r="HV48" i="2"/>
  <c r="HW48" i="2"/>
  <c r="HX48" i="2"/>
  <c r="HC49" i="2"/>
  <c r="HD49" i="2"/>
  <c r="HE49" i="2"/>
  <c r="HF49" i="2"/>
  <c r="HG49" i="2"/>
  <c r="HH49" i="2"/>
  <c r="HI49" i="2"/>
  <c r="HJ49" i="2"/>
  <c r="HK49" i="2"/>
  <c r="HL49" i="2"/>
  <c r="HM49" i="2"/>
  <c r="HN49" i="2"/>
  <c r="HO49" i="2"/>
  <c r="HP49" i="2"/>
  <c r="HQ49" i="2"/>
  <c r="HR49" i="2"/>
  <c r="HS49" i="2"/>
  <c r="HT49" i="2"/>
  <c r="HU49" i="2"/>
  <c r="HV49" i="2"/>
  <c r="HW49" i="2"/>
  <c r="HX49" i="2"/>
  <c r="HC50" i="2"/>
  <c r="HD50" i="2"/>
  <c r="HE50" i="2"/>
  <c r="HF50" i="2"/>
  <c r="HG50" i="2"/>
  <c r="HH50" i="2"/>
  <c r="HI50" i="2"/>
  <c r="HJ50" i="2"/>
  <c r="HK50" i="2"/>
  <c r="HL50" i="2"/>
  <c r="HM50" i="2"/>
  <c r="HN50" i="2"/>
  <c r="HO50" i="2"/>
  <c r="HP50" i="2"/>
  <c r="HQ50" i="2"/>
  <c r="HR50" i="2"/>
  <c r="HS50" i="2"/>
  <c r="HT50" i="2"/>
  <c r="HU50" i="2"/>
  <c r="HV50" i="2"/>
  <c r="HW50" i="2"/>
  <c r="HX50" i="2"/>
  <c r="HC51" i="2"/>
  <c r="HD51" i="2"/>
  <c r="HE51" i="2"/>
  <c r="HF51" i="2"/>
  <c r="HG51" i="2"/>
  <c r="HH51" i="2"/>
  <c r="HI51" i="2"/>
  <c r="HJ51" i="2"/>
  <c r="HK51" i="2"/>
  <c r="HL51" i="2"/>
  <c r="HM51" i="2"/>
  <c r="HN51" i="2"/>
  <c r="HO51" i="2"/>
  <c r="HP51" i="2"/>
  <c r="HQ51" i="2"/>
  <c r="HR51" i="2"/>
  <c r="HS51" i="2"/>
  <c r="HT51" i="2"/>
  <c r="HU51" i="2"/>
  <c r="HV51" i="2"/>
  <c r="HW51" i="2"/>
  <c r="HX51" i="2"/>
  <c r="HC52" i="2"/>
  <c r="HD52" i="2"/>
  <c r="HE52" i="2"/>
  <c r="HF52" i="2"/>
  <c r="HG52" i="2"/>
  <c r="HH52" i="2"/>
  <c r="HI52" i="2"/>
  <c r="HJ52" i="2"/>
  <c r="HK52" i="2"/>
  <c r="HL52" i="2"/>
  <c r="HM52" i="2"/>
  <c r="HN52" i="2"/>
  <c r="HO52" i="2"/>
  <c r="HP52" i="2"/>
  <c r="HQ52" i="2"/>
  <c r="HR52" i="2"/>
  <c r="HS52" i="2"/>
  <c r="HT52" i="2"/>
  <c r="HU52" i="2"/>
  <c r="HV52" i="2"/>
  <c r="HW52" i="2"/>
  <c r="HX52" i="2"/>
  <c r="HC53" i="2"/>
  <c r="HD53" i="2"/>
  <c r="HE53" i="2"/>
  <c r="HF53" i="2"/>
  <c r="HG53" i="2"/>
  <c r="HH53" i="2"/>
  <c r="HI53" i="2"/>
  <c r="HJ53" i="2"/>
  <c r="HK53" i="2"/>
  <c r="HL53" i="2"/>
  <c r="HM53" i="2"/>
  <c r="HN53" i="2"/>
  <c r="HO53" i="2"/>
  <c r="HP53" i="2"/>
  <c r="HQ53" i="2"/>
  <c r="HR53" i="2"/>
  <c r="HS53" i="2"/>
  <c r="HT53" i="2"/>
  <c r="HU53" i="2"/>
  <c r="HV53" i="2"/>
  <c r="HW53" i="2"/>
  <c r="HX53" i="2"/>
  <c r="HC54" i="2"/>
  <c r="HD54" i="2"/>
  <c r="HE54" i="2"/>
  <c r="HF54" i="2"/>
  <c r="HG54" i="2"/>
  <c r="HH54" i="2"/>
  <c r="HI54" i="2"/>
  <c r="HJ54" i="2"/>
  <c r="HK54" i="2"/>
  <c r="HL54" i="2"/>
  <c r="HM54" i="2"/>
  <c r="HN54" i="2"/>
  <c r="HO54" i="2"/>
  <c r="HP54" i="2"/>
  <c r="HQ54" i="2"/>
  <c r="HR54" i="2"/>
  <c r="HS54" i="2"/>
  <c r="HT54" i="2"/>
  <c r="HU54" i="2"/>
  <c r="HV54" i="2"/>
  <c r="HW54" i="2"/>
  <c r="HX54" i="2"/>
  <c r="HC55" i="2"/>
  <c r="HD55" i="2"/>
  <c r="HE55" i="2"/>
  <c r="HF55" i="2"/>
  <c r="HG55" i="2"/>
  <c r="HH55" i="2"/>
  <c r="HI55" i="2"/>
  <c r="HJ55" i="2"/>
  <c r="HK55" i="2"/>
  <c r="HL55" i="2"/>
  <c r="HM55" i="2"/>
  <c r="HN55" i="2"/>
  <c r="HO55" i="2"/>
  <c r="HP55" i="2"/>
  <c r="HQ55" i="2"/>
  <c r="HR55" i="2"/>
  <c r="HS55" i="2"/>
  <c r="HT55" i="2"/>
  <c r="HU55" i="2"/>
  <c r="HV55" i="2"/>
  <c r="HW55" i="2"/>
  <c r="HX55" i="2"/>
  <c r="HC56" i="2"/>
  <c r="HD56" i="2"/>
  <c r="HE56" i="2"/>
  <c r="HF56" i="2"/>
  <c r="HG56" i="2"/>
  <c r="HH56" i="2"/>
  <c r="HI56" i="2"/>
  <c r="HJ56" i="2"/>
  <c r="HK56" i="2"/>
  <c r="HL56" i="2"/>
  <c r="HM56" i="2"/>
  <c r="HN56" i="2"/>
  <c r="HO56" i="2"/>
  <c r="HP56" i="2"/>
  <c r="HQ56" i="2"/>
  <c r="HR56" i="2"/>
  <c r="HS56" i="2"/>
  <c r="HT56" i="2"/>
  <c r="HU56" i="2"/>
  <c r="HV56" i="2"/>
  <c r="HW56" i="2"/>
  <c r="HX56" i="2"/>
  <c r="HC57" i="2"/>
  <c r="HD57" i="2"/>
  <c r="HE57" i="2"/>
  <c r="HF57" i="2"/>
  <c r="HG57" i="2"/>
  <c r="HH57" i="2"/>
  <c r="HI57" i="2"/>
  <c r="HJ57" i="2"/>
  <c r="HK57" i="2"/>
  <c r="HL57" i="2"/>
  <c r="HM57" i="2"/>
  <c r="HN57" i="2"/>
  <c r="HO57" i="2"/>
  <c r="HP57" i="2"/>
  <c r="HQ57" i="2"/>
  <c r="HR57" i="2"/>
  <c r="HS57" i="2"/>
  <c r="HT57" i="2"/>
  <c r="HU57" i="2"/>
  <c r="HV57" i="2"/>
  <c r="HW57" i="2"/>
  <c r="HX57" i="2"/>
  <c r="HC58" i="2"/>
  <c r="HD58" i="2"/>
  <c r="HE58" i="2"/>
  <c r="HF58" i="2"/>
  <c r="HG58" i="2"/>
  <c r="HH58" i="2"/>
  <c r="HI58" i="2"/>
  <c r="HJ58" i="2"/>
  <c r="HK58" i="2"/>
  <c r="HL58" i="2"/>
  <c r="HM58" i="2"/>
  <c r="HN58" i="2"/>
  <c r="HO58" i="2"/>
  <c r="HP58" i="2"/>
  <c r="HQ58" i="2"/>
  <c r="HR58" i="2"/>
  <c r="HS58" i="2"/>
  <c r="HT58" i="2"/>
  <c r="HU58" i="2"/>
  <c r="HV58" i="2"/>
  <c r="HW58" i="2"/>
  <c r="HX58" i="2"/>
  <c r="HC59" i="2"/>
  <c r="HD59" i="2"/>
  <c r="HE59" i="2"/>
  <c r="HF59" i="2"/>
  <c r="HG59" i="2"/>
  <c r="HH59" i="2"/>
  <c r="HI59" i="2"/>
  <c r="HJ59" i="2"/>
  <c r="HK59" i="2"/>
  <c r="HL59" i="2"/>
  <c r="HM59" i="2"/>
  <c r="HN59" i="2"/>
  <c r="HO59" i="2"/>
  <c r="HP59" i="2"/>
  <c r="HQ59" i="2"/>
  <c r="HR59" i="2"/>
  <c r="HS59" i="2"/>
  <c r="HT59" i="2"/>
  <c r="HU59" i="2"/>
  <c r="HV59" i="2"/>
  <c r="HW59" i="2"/>
  <c r="HX59" i="2"/>
  <c r="HC60" i="2"/>
  <c r="HD60" i="2"/>
  <c r="HE60" i="2"/>
  <c r="HF60" i="2"/>
  <c r="HG60" i="2"/>
  <c r="HH60" i="2"/>
  <c r="HI60" i="2"/>
  <c r="HJ60" i="2"/>
  <c r="HK60" i="2"/>
  <c r="HL60" i="2"/>
  <c r="HM60" i="2"/>
  <c r="HN60" i="2"/>
  <c r="HO60" i="2"/>
  <c r="HP60" i="2"/>
  <c r="HQ60" i="2"/>
  <c r="HR60" i="2"/>
  <c r="HS60" i="2"/>
  <c r="HT60" i="2"/>
  <c r="HU60" i="2"/>
  <c r="HV60" i="2"/>
  <c r="HW60" i="2"/>
  <c r="HX60" i="2"/>
  <c r="HC61" i="2"/>
  <c r="HD61" i="2"/>
  <c r="HE61" i="2"/>
  <c r="HF61" i="2"/>
  <c r="HG61" i="2"/>
  <c r="HH61" i="2"/>
  <c r="HI61" i="2"/>
  <c r="HJ61" i="2"/>
  <c r="HK61" i="2"/>
  <c r="HL61" i="2"/>
  <c r="HM61" i="2"/>
  <c r="HN61" i="2"/>
  <c r="HO61" i="2"/>
  <c r="HP61" i="2"/>
  <c r="HQ61" i="2"/>
  <c r="HR61" i="2"/>
  <c r="HS61" i="2"/>
  <c r="HT61" i="2"/>
  <c r="HU61" i="2"/>
  <c r="HV61" i="2"/>
  <c r="HW61" i="2"/>
  <c r="HX61" i="2"/>
  <c r="HC62" i="2"/>
  <c r="HD62" i="2"/>
  <c r="HE62" i="2"/>
  <c r="HF62" i="2"/>
  <c r="HG62" i="2"/>
  <c r="HH62" i="2"/>
  <c r="HI62" i="2"/>
  <c r="HJ62" i="2"/>
  <c r="HK62" i="2"/>
  <c r="HL62" i="2"/>
  <c r="HM62" i="2"/>
  <c r="HN62" i="2"/>
  <c r="HO62" i="2"/>
  <c r="HP62" i="2"/>
  <c r="HQ62" i="2"/>
  <c r="HR62" i="2"/>
  <c r="HS62" i="2"/>
  <c r="HT62" i="2"/>
  <c r="HU62" i="2"/>
  <c r="HV62" i="2"/>
  <c r="HW62" i="2"/>
  <c r="HX62" i="2"/>
  <c r="HC63" i="2"/>
  <c r="HD63" i="2"/>
  <c r="HE63" i="2"/>
  <c r="HF63" i="2"/>
  <c r="HG63" i="2"/>
  <c r="HH63" i="2"/>
  <c r="HI63" i="2"/>
  <c r="HJ63" i="2"/>
  <c r="HK63" i="2"/>
  <c r="HL63" i="2"/>
  <c r="HM63" i="2"/>
  <c r="HN63" i="2"/>
  <c r="HO63" i="2"/>
  <c r="HP63" i="2"/>
  <c r="HQ63" i="2"/>
  <c r="HR63" i="2"/>
  <c r="HS63" i="2"/>
  <c r="HT63" i="2"/>
  <c r="HU63" i="2"/>
  <c r="HV63" i="2"/>
  <c r="HW63" i="2"/>
  <c r="HX63" i="2"/>
  <c r="HC64" i="2"/>
  <c r="HD64" i="2"/>
  <c r="HE64" i="2"/>
  <c r="HF64" i="2"/>
  <c r="HG64" i="2"/>
  <c r="HH64" i="2"/>
  <c r="HI64" i="2"/>
  <c r="HJ64" i="2"/>
  <c r="HK64" i="2"/>
  <c r="HL64" i="2"/>
  <c r="HM64" i="2"/>
  <c r="HN64" i="2"/>
  <c r="HO64" i="2"/>
  <c r="HP64" i="2"/>
  <c r="HQ64" i="2"/>
  <c r="HR64" i="2"/>
  <c r="HS64" i="2"/>
  <c r="HT64" i="2"/>
  <c r="HU64" i="2"/>
  <c r="HV64" i="2"/>
  <c r="HW64" i="2"/>
  <c r="HX64" i="2"/>
  <c r="HC65" i="2"/>
  <c r="HD65" i="2"/>
  <c r="HE65" i="2"/>
  <c r="HF65" i="2"/>
  <c r="HG65" i="2"/>
  <c r="HH65" i="2"/>
  <c r="HI65" i="2"/>
  <c r="HJ65" i="2"/>
  <c r="HK65" i="2"/>
  <c r="HL65" i="2"/>
  <c r="HM65" i="2"/>
  <c r="HN65" i="2"/>
  <c r="HO65" i="2"/>
  <c r="HP65" i="2"/>
  <c r="HQ65" i="2"/>
  <c r="HR65" i="2"/>
  <c r="HS65" i="2"/>
  <c r="HT65" i="2"/>
  <c r="HU65" i="2"/>
  <c r="HV65" i="2"/>
  <c r="HW65" i="2"/>
  <c r="HX65" i="2"/>
  <c r="HC66" i="2"/>
  <c r="HD66" i="2"/>
  <c r="HE66" i="2"/>
  <c r="HF66" i="2"/>
  <c r="HG66" i="2"/>
  <c r="HH66" i="2"/>
  <c r="HI66" i="2"/>
  <c r="HJ66" i="2"/>
  <c r="HK66" i="2"/>
  <c r="HL66" i="2"/>
  <c r="HM66" i="2"/>
  <c r="HN66" i="2"/>
  <c r="HO66" i="2"/>
  <c r="HP66" i="2"/>
  <c r="HQ66" i="2"/>
  <c r="HR66" i="2"/>
  <c r="HS66" i="2"/>
  <c r="HT66" i="2"/>
  <c r="HU66" i="2"/>
  <c r="HV66" i="2"/>
  <c r="HW66" i="2"/>
  <c r="HX66" i="2"/>
  <c r="HC67" i="2"/>
  <c r="HD67" i="2"/>
  <c r="HE67" i="2"/>
  <c r="HF67" i="2"/>
  <c r="HG67" i="2"/>
  <c r="HH67" i="2"/>
  <c r="HI67" i="2"/>
  <c r="HJ67" i="2"/>
  <c r="HK67" i="2"/>
  <c r="HL67" i="2"/>
  <c r="HM67" i="2"/>
  <c r="HN67" i="2"/>
  <c r="HO67" i="2"/>
  <c r="HP67" i="2"/>
  <c r="HQ67" i="2"/>
  <c r="HR67" i="2"/>
  <c r="HS67" i="2"/>
  <c r="HT67" i="2"/>
  <c r="HU67" i="2"/>
  <c r="HV67" i="2"/>
  <c r="HW67" i="2"/>
  <c r="HX67" i="2"/>
  <c r="HC68" i="2"/>
  <c r="HD68" i="2"/>
  <c r="HE68" i="2"/>
  <c r="HF68" i="2"/>
  <c r="HG68" i="2"/>
  <c r="HH68" i="2"/>
  <c r="HI68" i="2"/>
  <c r="HJ68" i="2"/>
  <c r="HK68" i="2"/>
  <c r="HL68" i="2"/>
  <c r="HM68" i="2"/>
  <c r="HN68" i="2"/>
  <c r="HO68" i="2"/>
  <c r="HP68" i="2"/>
  <c r="HQ68" i="2"/>
  <c r="HR68" i="2"/>
  <c r="HS68" i="2"/>
  <c r="HT68" i="2"/>
  <c r="HU68" i="2"/>
  <c r="HV68" i="2"/>
  <c r="HW68" i="2"/>
  <c r="HX68" i="2"/>
  <c r="HC69" i="2"/>
  <c r="HD69" i="2"/>
  <c r="HE69" i="2"/>
  <c r="HF69" i="2"/>
  <c r="HG69" i="2"/>
  <c r="HH69" i="2"/>
  <c r="HI69" i="2"/>
  <c r="HJ69" i="2"/>
  <c r="HK69" i="2"/>
  <c r="HL69" i="2"/>
  <c r="HM69" i="2"/>
  <c r="HN69" i="2"/>
  <c r="HO69" i="2"/>
  <c r="HP69" i="2"/>
  <c r="HQ69" i="2"/>
  <c r="HR69" i="2"/>
  <c r="HS69" i="2"/>
  <c r="HT69" i="2"/>
  <c r="HU69" i="2"/>
  <c r="HV69" i="2"/>
  <c r="HW69" i="2"/>
  <c r="HX69" i="2"/>
  <c r="HD6" i="2"/>
  <c r="HE6" i="2"/>
  <c r="HF6" i="2"/>
  <c r="HG6" i="2"/>
  <c r="HH6" i="2"/>
  <c r="HI6" i="2"/>
  <c r="HJ6" i="2"/>
  <c r="HK6" i="2"/>
  <c r="HL6" i="2"/>
  <c r="HM6" i="2"/>
  <c r="HN6" i="2"/>
  <c r="HO6" i="2"/>
  <c r="HP6" i="2"/>
  <c r="HQ6" i="2"/>
  <c r="HR6" i="2"/>
  <c r="HS6" i="2"/>
  <c r="HT6" i="2"/>
  <c r="HU6" i="2"/>
  <c r="HV6" i="2"/>
  <c r="HW6" i="2"/>
  <c r="HX6" i="2"/>
  <c r="HC6" i="2"/>
  <c r="DJ28" i="2"/>
  <c r="DI13" i="2"/>
  <c r="AY46" i="9"/>
  <c r="EV46" i="2" s="1"/>
  <c r="Z46" i="9"/>
  <c r="DW46" i="2" s="1"/>
  <c r="D81" i="18"/>
  <c r="F81" i="18"/>
  <c r="G29" i="14"/>
  <c r="D32" i="14"/>
  <c r="F32" i="14"/>
  <c r="AT46" i="9"/>
  <c r="EQ46" i="2" s="1"/>
  <c r="AE46" i="9"/>
  <c r="EB46" i="2" s="1"/>
  <c r="F29" i="14"/>
  <c r="AO56" i="9"/>
  <c r="EL56" i="2" s="1"/>
  <c r="F30" i="14"/>
  <c r="Y47" i="9"/>
  <c r="DV47" i="2" s="1"/>
  <c r="CD34" i="9"/>
  <c r="GA42" i="2"/>
  <c r="F81" i="14"/>
  <c r="D31" i="18"/>
  <c r="F31" i="18"/>
  <c r="AJ34" i="9"/>
  <c r="EG42" i="2" s="1"/>
  <c r="F64" i="14"/>
  <c r="F66" i="14"/>
  <c r="G64" i="14"/>
  <c r="F65" i="14"/>
  <c r="F34" i="14"/>
  <c r="AT25" i="9"/>
  <c r="EQ25" i="2" s="1"/>
  <c r="AJ25" i="9"/>
  <c r="F24" i="12"/>
  <c r="AU25" i="9"/>
  <c r="ER25" i="2" s="1"/>
  <c r="F40" i="12"/>
  <c r="D35" i="14"/>
  <c r="D36" i="14"/>
  <c r="F50" i="11"/>
  <c r="DM44" i="2"/>
  <c r="G33" i="12"/>
  <c r="D34" i="12"/>
  <c r="D35" i="12"/>
  <c r="F34" i="12"/>
  <c r="F35" i="14"/>
  <c r="AF33" i="9"/>
  <c r="EC33" i="2" s="1"/>
  <c r="BB46" i="9"/>
  <c r="EY46" i="2" s="1"/>
  <c r="AZ47" i="9"/>
  <c r="EW47" i="2" s="1"/>
  <c r="AJ33" i="9"/>
  <c r="EG33" i="2" s="1"/>
  <c r="AX47" i="9"/>
  <c r="EU47" i="2" s="1"/>
  <c r="AN25" i="9"/>
  <c r="EK25" i="2" s="1"/>
  <c r="AX25" i="9"/>
  <c r="EU25" i="2" s="1"/>
  <c r="AY25" i="9"/>
  <c r="EV25" i="2" s="1"/>
  <c r="BA33" i="9"/>
  <c r="EX33" i="2" s="1"/>
  <c r="AZ33" i="9"/>
  <c r="EW33" i="2" s="1"/>
  <c r="AY33" i="9"/>
  <c r="EV33" i="2" s="1"/>
  <c r="AZ46" i="9"/>
  <c r="EW46" i="2" s="1"/>
  <c r="Y12" i="9"/>
  <c r="DV12" i="2" s="1"/>
  <c r="AX12" i="9"/>
  <c r="EU12" i="2" s="1"/>
  <c r="BA13" i="9"/>
  <c r="EX13" i="2" s="1"/>
  <c r="AY12" i="9"/>
  <c r="EV12" i="2" s="1"/>
  <c r="BB13" i="9"/>
  <c r="EY13" i="2" s="1"/>
  <c r="AZ12" i="9"/>
  <c r="EW12" i="2" s="1"/>
  <c r="AX14" i="9"/>
  <c r="EU14" i="2" s="1"/>
  <c r="BA12" i="9"/>
  <c r="EX12" i="2" s="1"/>
  <c r="AY14" i="9"/>
  <c r="EV14" i="2" s="1"/>
  <c r="BB12" i="9"/>
  <c r="EY12" i="2" s="1"/>
  <c r="AZ14" i="9"/>
  <c r="EW14" i="2" s="1"/>
  <c r="AX13" i="9"/>
  <c r="EU13" i="2" s="1"/>
  <c r="AY13" i="9"/>
  <c r="EV13" i="2" s="1"/>
  <c r="AZ13" i="9"/>
  <c r="EW13" i="2" s="1"/>
  <c r="AX56" i="9"/>
  <c r="EU56" i="2" s="1"/>
  <c r="BA46" i="9"/>
  <c r="EX46" i="2" s="1"/>
  <c r="AY47" i="9"/>
  <c r="EV47" i="2" s="1"/>
  <c r="DH24" i="2"/>
  <c r="DJ26" i="2"/>
  <c r="DI7" i="2"/>
  <c r="DN36" i="2"/>
  <c r="DL42" i="2"/>
  <c r="DM28" i="2"/>
  <c r="DG35" i="2"/>
  <c r="DF69" i="2"/>
  <c r="HB69" i="2" s="1"/>
  <c r="DJ17" i="2"/>
  <c r="FU12" i="2"/>
  <c r="DC58" i="2"/>
  <c r="GY58" i="2" s="1"/>
  <c r="DI59" i="2"/>
  <c r="DN59" i="2"/>
  <c r="DJ62" i="2"/>
  <c r="DH64" i="2"/>
  <c r="DL39" i="2"/>
  <c r="DM66" i="2"/>
  <c r="DM12" i="2"/>
  <c r="DK67" i="2"/>
  <c r="F41" i="14"/>
  <c r="D36" i="18"/>
  <c r="F36" i="18"/>
  <c r="F44" i="11"/>
  <c r="AS25" i="9"/>
  <c r="EP25" i="2" s="1"/>
  <c r="D49" i="12"/>
  <c r="D50" i="12"/>
  <c r="F48" i="12"/>
  <c r="F49" i="12"/>
  <c r="Z56" i="9"/>
  <c r="DW56" i="2" s="1"/>
  <c r="AM46" i="9"/>
  <c r="EJ46" i="2" s="1"/>
  <c r="D44" i="12"/>
  <c r="D45" i="12"/>
  <c r="AK46" i="9"/>
  <c r="EH46" i="2" s="1"/>
  <c r="AP33" i="9"/>
  <c r="EM33" i="2" s="1"/>
  <c r="F58" i="11"/>
  <c r="F59" i="11"/>
  <c r="G58" i="11"/>
  <c r="AJ47" i="9"/>
  <c r="EG47" i="2" s="1"/>
  <c r="AA46" i="9"/>
  <c r="DX46" i="2" s="1"/>
  <c r="DJ67" i="2"/>
  <c r="DG10" i="2"/>
  <c r="DH38" i="2"/>
  <c r="DN60" i="2"/>
  <c r="DD26" i="2"/>
  <c r="GZ26" i="2" s="1"/>
  <c r="F90" i="18"/>
  <c r="DL41" i="2"/>
  <c r="DL45" i="2"/>
  <c r="DD42" i="2"/>
  <c r="GZ42" i="2" s="1"/>
  <c r="M69" i="9"/>
  <c r="DK18" i="2"/>
  <c r="DI44" i="2"/>
  <c r="DL27" i="2"/>
  <c r="DL26" i="2"/>
  <c r="DI35" i="2"/>
  <c r="DG31" i="2"/>
  <c r="DK54" i="2"/>
  <c r="DI64" i="2"/>
  <c r="DN54" i="2"/>
  <c r="DN14" i="2"/>
  <c r="DJ34" i="2"/>
  <c r="DL68" i="2"/>
  <c r="DM60" i="2"/>
  <c r="DJ36" i="2"/>
  <c r="DI63" i="2"/>
  <c r="DG41" i="2"/>
  <c r="DL58" i="2"/>
  <c r="DH68" i="2"/>
  <c r="DI65" i="2"/>
  <c r="M59" i="9"/>
  <c r="DG14" i="2"/>
  <c r="DH9" i="2"/>
  <c r="DH19" i="2"/>
  <c r="FH7" i="2"/>
  <c r="DJ63" i="2"/>
  <c r="DJ31" i="2"/>
  <c r="FV7" i="2"/>
  <c r="DN62" i="2"/>
  <c r="DK35" i="2"/>
  <c r="DK8" i="2"/>
  <c r="DM17" i="2"/>
  <c r="DK23" i="2"/>
  <c r="DI43" i="2"/>
  <c r="DH26" i="2"/>
  <c r="DI18" i="2"/>
  <c r="DF33" i="2"/>
  <c r="HB33" i="2" s="1"/>
  <c r="DG22" i="2"/>
  <c r="DM15" i="2"/>
  <c r="DH35" i="2"/>
  <c r="DN15" i="2"/>
  <c r="M48" i="9"/>
  <c r="DG65" i="2"/>
  <c r="DR65" i="2" s="1"/>
  <c r="M43" i="9"/>
  <c r="M64" i="9"/>
  <c r="DI57" i="2"/>
  <c r="AT47" i="9"/>
  <c r="EQ47" i="2" s="1"/>
  <c r="DN55" i="2"/>
  <c r="DN17" i="2"/>
  <c r="DJ24" i="2"/>
  <c r="DK13" i="2"/>
  <c r="DG23" i="2"/>
  <c r="DL17" i="2"/>
  <c r="DG29" i="2"/>
  <c r="DG44" i="2"/>
  <c r="DS44" i="2" s="1"/>
  <c r="DG27" i="2"/>
  <c r="E37" i="9"/>
  <c r="E46" i="9"/>
  <c r="E38" i="9"/>
  <c r="E19" i="9"/>
  <c r="E67" i="9"/>
  <c r="E63" i="9"/>
  <c r="E29" i="9"/>
  <c r="E57" i="9"/>
  <c r="E61" i="9"/>
  <c r="E40" i="9"/>
  <c r="DK11" i="2"/>
  <c r="E13" i="9"/>
  <c r="E9" i="9"/>
  <c r="E8" i="9"/>
  <c r="E7" i="9"/>
  <c r="C6" i="9"/>
  <c r="C7" i="9" s="1"/>
  <c r="DM56" i="2"/>
  <c r="DI58" i="2"/>
  <c r="DL66" i="2"/>
  <c r="DL65" i="2"/>
  <c r="DM55" i="2"/>
  <c r="DK19" i="2"/>
  <c r="EL46" i="2"/>
  <c r="FX46" i="2"/>
  <c r="EA46" i="2"/>
  <c r="DN65" i="2"/>
  <c r="DH56" i="2"/>
  <c r="DI54" i="2"/>
  <c r="DL56" i="2"/>
  <c r="M47" i="9"/>
  <c r="EF46" i="2"/>
  <c r="FW13" i="2"/>
  <c r="DD57" i="2"/>
  <c r="GZ57" i="2" s="1"/>
  <c r="FH32" i="2"/>
  <c r="DH58" i="2"/>
  <c r="DK57" i="2"/>
  <c r="DK59" i="2"/>
  <c r="DK65" i="2"/>
  <c r="DG59" i="2"/>
  <c r="DI41" i="2"/>
  <c r="DJ60" i="2"/>
  <c r="DN58" i="2"/>
  <c r="DL37" i="2"/>
  <c r="DM26" i="2"/>
  <c r="DH18" i="2"/>
  <c r="DK28" i="2"/>
  <c r="DM68" i="2"/>
  <c r="DI68" i="2"/>
  <c r="DI21" i="2"/>
  <c r="DG62" i="2"/>
  <c r="DN57" i="2"/>
  <c r="DG20" i="2"/>
  <c r="DS20" i="2" s="1"/>
  <c r="DL14" i="2"/>
  <c r="DK39" i="2"/>
  <c r="DL21" i="2"/>
  <c r="DN27" i="2"/>
  <c r="DK69" i="2"/>
  <c r="DG43" i="2"/>
  <c r="DL36" i="2"/>
  <c r="DN18" i="2"/>
  <c r="DM14" i="2"/>
  <c r="FI42" i="2"/>
  <c r="DK43" i="2"/>
  <c r="FS7" i="2"/>
  <c r="DM63" i="2"/>
  <c r="DM30" i="2"/>
  <c r="DJ16" i="2"/>
  <c r="DK17" i="2"/>
  <c r="DF45" i="2"/>
  <c r="HB45" i="2" s="1"/>
  <c r="DG15" i="2"/>
  <c r="DG46" i="2"/>
  <c r="DM38" i="2"/>
  <c r="FK41" i="2"/>
  <c r="DL15" i="2"/>
  <c r="DD37" i="2"/>
  <c r="GZ37" i="2" s="1"/>
  <c r="FZ46" i="2"/>
  <c r="DI26" i="2"/>
  <c r="FL36" i="2"/>
  <c r="FW8" i="2"/>
  <c r="EA25" i="2"/>
  <c r="DK9" i="2"/>
  <c r="CF42" i="9"/>
  <c r="GC44" i="2"/>
  <c r="DN40" i="2"/>
  <c r="FS33" i="2"/>
  <c r="EF33" i="2"/>
  <c r="DL10" i="2"/>
  <c r="FO8" i="2"/>
  <c r="DL33" i="2"/>
  <c r="DG39" i="2"/>
  <c r="DL62" i="2"/>
  <c r="DG24" i="2"/>
  <c r="DG56" i="2"/>
  <c r="DH46" i="2"/>
  <c r="DN41" i="2"/>
  <c r="DM31" i="2"/>
  <c r="DK36" i="2"/>
  <c r="DI40" i="2"/>
  <c r="DK47" i="2"/>
  <c r="DI56" i="2"/>
  <c r="DM35" i="2"/>
  <c r="FI46" i="2"/>
  <c r="FJ46" i="2"/>
  <c r="DN10" i="2"/>
  <c r="CE15" i="9"/>
  <c r="GB15" i="2"/>
  <c r="FO41" i="2"/>
  <c r="FQ46" i="2"/>
  <c r="FM36" i="2"/>
  <c r="DJ14" i="2"/>
  <c r="DM65" i="2"/>
  <c r="DN66" i="2"/>
  <c r="DJ69" i="2"/>
  <c r="DG66" i="2"/>
  <c r="DJ59" i="2"/>
  <c r="DH54" i="2"/>
  <c r="DN35" i="2"/>
  <c r="DH34" i="2"/>
  <c r="DL32" i="2"/>
  <c r="DJ61" i="2"/>
  <c r="EG46" i="2"/>
  <c r="FJ33" i="2"/>
  <c r="FK46" i="2"/>
  <c r="FV42" i="2"/>
  <c r="DN16" i="2"/>
  <c r="DN8" i="2"/>
  <c r="FV12" i="2"/>
  <c r="FX33" i="2"/>
  <c r="FJ8" i="2"/>
  <c r="DK15" i="2"/>
  <c r="FJ6" i="2"/>
  <c r="EP33" i="2"/>
  <c r="FH33" i="2"/>
  <c r="FS8" i="2"/>
  <c r="FO7" i="2"/>
  <c r="DG7" i="2"/>
  <c r="FO6" i="2"/>
  <c r="FI6" i="2"/>
  <c r="FE7" i="2"/>
  <c r="DH6" i="2"/>
  <c r="FW6" i="2"/>
  <c r="FR6" i="2"/>
  <c r="FK7" i="2"/>
  <c r="DM6" i="2"/>
  <c r="DJ7" i="2"/>
  <c r="ER6" i="2"/>
  <c r="CH9" i="9"/>
  <c r="GE9" i="2"/>
  <c r="EL6" i="2"/>
  <c r="FD41" i="2"/>
  <c r="DN6" i="2"/>
  <c r="FI7" i="2"/>
  <c r="DV6" i="2"/>
  <c r="EG6" i="2"/>
  <c r="FT6" i="2"/>
  <c r="FL6" i="2"/>
  <c r="FX6" i="2"/>
  <c r="EM6" i="2"/>
  <c r="EK6" i="2"/>
  <c r="FB41" i="2"/>
  <c r="DK21" i="2"/>
  <c r="FQ36" i="2"/>
  <c r="FG36" i="2"/>
  <c r="FC36" i="2"/>
  <c r="DI28" i="2"/>
  <c r="FK33" i="2"/>
  <c r="DJ30" i="2"/>
  <c r="FB32" i="2"/>
  <c r="DK38" i="2"/>
  <c r="DM40" i="2"/>
  <c r="FH36" i="2"/>
  <c r="FG32" i="2"/>
  <c r="DN32" i="2"/>
  <c r="DK40" i="2"/>
  <c r="EA33" i="2"/>
  <c r="DH37" i="2"/>
  <c r="FZ32" i="2"/>
  <c r="FI36" i="2"/>
  <c r="FE32" i="2"/>
  <c r="FT41" i="2"/>
  <c r="DL40" i="2"/>
  <c r="FC32" i="2"/>
  <c r="DK20" i="2"/>
  <c r="DI19" i="2"/>
  <c r="FS41" i="2"/>
  <c r="FT13" i="2"/>
  <c r="DJ19" i="2"/>
  <c r="DJ10" i="2"/>
  <c r="FJ32" i="2"/>
  <c r="DL25" i="2"/>
  <c r="DG40" i="2"/>
  <c r="DQ40" i="2" s="1"/>
  <c r="DJ32" i="2"/>
  <c r="FS42" i="2"/>
  <c r="FO33" i="2"/>
  <c r="FK32" i="2"/>
  <c r="FQ32" i="2"/>
  <c r="FH42" i="2"/>
  <c r="DK30" i="2"/>
  <c r="FU32" i="2"/>
  <c r="FW12" i="2"/>
  <c r="FZ13" i="2"/>
  <c r="FX12" i="2"/>
  <c r="FH13" i="2"/>
  <c r="FD13" i="2"/>
  <c r="FG13" i="2"/>
  <c r="FV20" i="2"/>
  <c r="FO10" i="2"/>
  <c r="FM10" i="2"/>
  <c r="FP9" i="2"/>
  <c r="FM37" i="2"/>
  <c r="FR37" i="2"/>
  <c r="FS24" i="2"/>
  <c r="FN20" i="2"/>
  <c r="FC23" i="2"/>
  <c r="FW16" i="2"/>
  <c r="FO23" i="2"/>
  <c r="FT12" i="2"/>
  <c r="FY12" i="2"/>
  <c r="FU13" i="2"/>
  <c r="FE12" i="2"/>
  <c r="FO18" i="2"/>
  <c r="FG16" i="2"/>
  <c r="FF23" i="2"/>
  <c r="FJ17" i="2"/>
  <c r="FG19" i="2"/>
  <c r="FR21" i="2"/>
  <c r="FM9" i="2"/>
  <c r="FK17" i="2"/>
  <c r="FF19" i="2"/>
  <c r="FY21" i="2"/>
  <c r="FL9" i="2"/>
  <c r="FN12" i="2"/>
  <c r="FO12" i="2"/>
  <c r="FS37" i="2"/>
  <c r="FM14" i="2"/>
  <c r="FJ14" i="2"/>
  <c r="FK37" i="2"/>
  <c r="FG20" i="2"/>
  <c r="FE21" i="2"/>
  <c r="FC10" i="2"/>
  <c r="FX18" i="2"/>
  <c r="FN14" i="2"/>
  <c r="FO9" i="2"/>
  <c r="FZ16" i="2"/>
  <c r="FQ14" i="2"/>
  <c r="FY19" i="2"/>
  <c r="FX23" i="2"/>
  <c r="FO37" i="2"/>
  <c r="FC14" i="2"/>
  <c r="FP16" i="2"/>
  <c r="FQ37" i="2"/>
  <c r="FC19" i="2"/>
  <c r="FL13" i="2"/>
  <c r="FG37" i="2"/>
  <c r="FX16" i="2"/>
  <c r="FZ11" i="2"/>
  <c r="FZ37" i="2"/>
  <c r="FK13" i="2"/>
  <c r="FT18" i="2"/>
  <c r="FV10" i="2"/>
  <c r="FK10" i="2"/>
  <c r="FB14" i="2"/>
  <c r="FS22" i="2"/>
  <c r="FB19" i="2"/>
  <c r="FL19" i="2"/>
  <c r="FJ19" i="2"/>
  <c r="FT23" i="2"/>
  <c r="FF11" i="2"/>
  <c r="FY17" i="2"/>
  <c r="FM17" i="2"/>
  <c r="FS11" i="2"/>
  <c r="FT15" i="2"/>
  <c r="FC20" i="2"/>
  <c r="FL10" i="2"/>
  <c r="FU26" i="2"/>
  <c r="FG26" i="2"/>
  <c r="FI26" i="2"/>
  <c r="FZ26" i="2"/>
  <c r="FO28" i="2"/>
  <c r="FR36" i="2"/>
  <c r="FH30" i="2"/>
  <c r="FG30" i="2"/>
  <c r="FM41" i="2"/>
  <c r="FG31" i="2"/>
  <c r="FE29" i="2"/>
  <c r="FZ25" i="2"/>
  <c r="FO32" i="2"/>
  <c r="FR16" i="2"/>
  <c r="FP37" i="2"/>
  <c r="FY20" i="2"/>
  <c r="FD16" i="2"/>
  <c r="FT16" i="2"/>
  <c r="FC9" i="2"/>
  <c r="FD21" i="2"/>
  <c r="FL21" i="2"/>
  <c r="FQ21" i="2"/>
  <c r="FS9" i="2"/>
  <c r="FI24" i="2"/>
  <c r="FB15" i="2"/>
  <c r="FO19" i="2"/>
  <c r="FN15" i="2"/>
  <c r="FQ24" i="2"/>
  <c r="FB11" i="2"/>
  <c r="FS15" i="2"/>
  <c r="FP24" i="2"/>
  <c r="FX21" i="2"/>
  <c r="FR18" i="2"/>
  <c r="FW22" i="2"/>
  <c r="FD26" i="2"/>
  <c r="GC26" i="2"/>
  <c r="FO26" i="2"/>
  <c r="FQ26" i="2"/>
  <c r="FY30" i="2"/>
  <c r="FG28" i="2"/>
  <c r="FY36" i="2"/>
  <c r="FE41" i="2"/>
  <c r="FR27" i="2"/>
  <c r="FN36" i="2"/>
  <c r="FL30" i="2"/>
  <c r="FJ28" i="2"/>
  <c r="FW9" i="2"/>
  <c r="FH20" i="2"/>
  <c r="FY22" i="2"/>
  <c r="FR17" i="2"/>
  <c r="FY23" i="2"/>
  <c r="FR9" i="2"/>
  <c r="FK22" i="2"/>
  <c r="FI18" i="2"/>
  <c r="FX24" i="2"/>
  <c r="FJ26" i="2"/>
  <c r="DG26" i="2"/>
  <c r="DT26" i="2" s="1"/>
  <c r="FS26" i="2"/>
  <c r="FX30" i="2"/>
  <c r="FE27" i="2"/>
  <c r="FP31" i="2"/>
  <c r="FV31" i="2"/>
  <c r="FY25" i="2"/>
  <c r="FC29" i="2"/>
  <c r="FP25" i="2"/>
  <c r="FO25" i="2"/>
  <c r="FV25" i="2"/>
  <c r="FS45" i="2"/>
  <c r="FZ35" i="2"/>
  <c r="FR35" i="2"/>
  <c r="FO43" i="2"/>
  <c r="FT19" i="2"/>
  <c r="FB9" i="2"/>
  <c r="FD9" i="2"/>
  <c r="FJ9" i="2"/>
  <c r="FW15" i="2"/>
  <c r="FP21" i="2"/>
  <c r="FV24" i="2"/>
  <c r="FO22" i="2"/>
  <c r="FM24" i="2"/>
  <c r="FK20" i="2"/>
  <c r="FH22" i="2"/>
  <c r="FF26" i="2"/>
  <c r="FH26" i="2"/>
  <c r="GA26" i="2"/>
  <c r="FI30" i="2"/>
  <c r="FU25" i="2"/>
  <c r="FP30" i="2"/>
  <c r="FH31" i="2"/>
  <c r="FN31" i="2"/>
  <c r="FZ28" i="2"/>
  <c r="FH25" i="2"/>
  <c r="FG25" i="2"/>
  <c r="FC31" i="2"/>
  <c r="FN25" i="2"/>
  <c r="FX45" i="2"/>
  <c r="FS39" i="2"/>
  <c r="FN45" i="2"/>
  <c r="FK39" i="2"/>
  <c r="FC45" i="2"/>
  <c r="FC39" i="2"/>
  <c r="FZ38" i="2"/>
  <c r="FF40" i="2"/>
  <c r="FR38" i="2"/>
  <c r="FR44" i="2"/>
  <c r="FB34" i="2"/>
  <c r="FT34" i="2"/>
  <c r="I75" i="10" s="1"/>
  <c r="FH40" i="2"/>
  <c r="FM34" i="2"/>
  <c r="H70" i="10" s="1"/>
  <c r="FM16" i="2"/>
  <c r="FX20" i="2"/>
  <c r="FI23" i="2"/>
  <c r="FH10" i="2"/>
  <c r="FD15" i="2"/>
  <c r="FH17" i="2"/>
  <c r="FF22" i="2"/>
  <c r="FX19" i="2"/>
  <c r="FY15" i="2"/>
  <c r="FN16" i="2"/>
  <c r="FM22" i="2"/>
  <c r="FQ16" i="2"/>
  <c r="FL26" i="2"/>
  <c r="FN26" i="2"/>
  <c r="FP26" i="2"/>
  <c r="FP41" i="2"/>
  <c r="FX29" i="2"/>
  <c r="FM25" i="2"/>
  <c r="FT25" i="2"/>
  <c r="FW30" i="2"/>
  <c r="FL27" i="2"/>
  <c r="FQ33" i="2"/>
  <c r="FJ25" i="2"/>
  <c r="FF31" i="2"/>
  <c r="FS28" i="2"/>
  <c r="FI25" i="2"/>
  <c r="FR41" i="2"/>
  <c r="FS30" i="2"/>
  <c r="FP28" i="2"/>
  <c r="FT14" i="2"/>
  <c r="FJ16" i="2"/>
  <c r="FW18" i="2"/>
  <c r="FX14" i="2"/>
  <c r="FN24" i="2"/>
  <c r="FU19" i="2"/>
  <c r="FQ9" i="2"/>
  <c r="FJ11" i="2"/>
  <c r="FJ22" i="2"/>
  <c r="FT26" i="2"/>
  <c r="FV26" i="2"/>
  <c r="FX26" i="2"/>
  <c r="FK36" i="2"/>
  <c r="FP29" i="2"/>
  <c r="FG29" i="2"/>
  <c r="FL25" i="2"/>
  <c r="FO30" i="2"/>
  <c r="FI33" i="2"/>
  <c r="FM29" i="2"/>
  <c r="FK28" i="2"/>
  <c r="FT42" i="2"/>
  <c r="FT30" i="2"/>
  <c r="FB28" i="2"/>
  <c r="FN33" i="2"/>
  <c r="FK30" i="2"/>
  <c r="FI28" i="2"/>
  <c r="FB42" i="2"/>
  <c r="FR30" i="2"/>
  <c r="FH28" i="2"/>
  <c r="FE39" i="2"/>
  <c r="FY35" i="2"/>
  <c r="FT38" i="2"/>
  <c r="FX34" i="2"/>
  <c r="FB45" i="2"/>
  <c r="FW45" i="2"/>
  <c r="FV43" i="2"/>
  <c r="FV34" i="2"/>
  <c r="FO13" i="2"/>
  <c r="FC37" i="2"/>
  <c r="FV16" i="2"/>
  <c r="FL18" i="2"/>
  <c r="FB21" i="2"/>
  <c r="FG11" i="2"/>
  <c r="FC17" i="2"/>
  <c r="FH19" i="2"/>
  <c r="FV23" i="2"/>
  <c r="FR23" i="2"/>
  <c r="FN17" i="2"/>
  <c r="FP17" i="2"/>
  <c r="FN9" i="2"/>
  <c r="FW21" i="2"/>
  <c r="FU17" i="2"/>
  <c r="FV15" i="2"/>
  <c r="FV9" i="2"/>
  <c r="FZ20" i="2"/>
  <c r="FF10" i="2"/>
  <c r="FG9" i="2"/>
  <c r="GB26" i="2"/>
  <c r="GD26" i="2"/>
  <c r="FY26" i="2"/>
  <c r="FD33" i="2"/>
  <c r="FV28" i="2"/>
  <c r="FN29" i="2"/>
  <c r="FW31" i="2"/>
  <c r="FT28" i="2"/>
  <c r="FU30" i="2"/>
  <c r="FC28" i="2"/>
  <c r="FV36" i="2"/>
  <c r="FD30" i="2"/>
  <c r="FY27" i="2"/>
  <c r="FF33" i="2"/>
  <c r="FC30" i="2"/>
  <c r="FJ30" i="2"/>
  <c r="FX39" i="2"/>
  <c r="FQ44" i="2"/>
  <c r="FV44" i="2"/>
  <c r="FI44" i="2"/>
  <c r="FK44" i="2"/>
  <c r="FQ35" i="2"/>
  <c r="FZ45" i="2"/>
  <c r="FJ45" i="2"/>
  <c r="FE10" i="2"/>
  <c r="FE15" i="2"/>
  <c r="FW10" i="2"/>
  <c r="FI10" i="2"/>
  <c r="FQ23" i="2"/>
  <c r="FJ23" i="2"/>
  <c r="FI15" i="2"/>
  <c r="FI9" i="2"/>
  <c r="FP19" i="2"/>
  <c r="FB24" i="2"/>
  <c r="FW19" i="2"/>
  <c r="FD10" i="2"/>
  <c r="FX11" i="2"/>
  <c r="FT17" i="2"/>
  <c r="FF14" i="2"/>
  <c r="FQ11" i="2"/>
  <c r="FB26" i="2"/>
  <c r="DN26" i="2"/>
  <c r="FR26" i="2"/>
  <c r="FW28" i="2"/>
  <c r="FN28" i="2"/>
  <c r="FO42" i="2"/>
  <c r="FF29" i="2"/>
  <c r="FK25" i="2"/>
  <c r="FL28" i="2"/>
  <c r="FL41" i="2"/>
  <c r="FM30" i="2"/>
  <c r="FZ27" i="2"/>
  <c r="FF32" i="2"/>
  <c r="FQ27" i="2"/>
  <c r="FM32" i="2"/>
  <c r="FE33" i="2"/>
  <c r="FB30" i="2"/>
  <c r="FD45" i="2"/>
  <c r="FM40" i="2"/>
  <c r="FX44" i="2"/>
  <c r="FB44" i="2"/>
  <c r="FD44" i="2"/>
  <c r="FY43" i="2"/>
  <c r="FL39" i="2"/>
  <c r="FX35" i="2"/>
  <c r="FH38" i="2"/>
  <c r="FY38" i="2"/>
  <c r="FT35" i="2"/>
  <c r="FQ38" i="2"/>
  <c r="FR11" i="2"/>
  <c r="FU22" i="2"/>
  <c r="FG17" i="2"/>
  <c r="FU18" i="2"/>
  <c r="FM15" i="2"/>
  <c r="FU21" i="2"/>
  <c r="FU15" i="2"/>
  <c r="FO15" i="2"/>
  <c r="FM19" i="2"/>
  <c r="FK11" i="2"/>
  <c r="FC18" i="2"/>
  <c r="FJ15" i="2"/>
  <c r="FB22" i="2"/>
  <c r="FD14" i="2"/>
  <c r="FG24" i="2"/>
  <c r="FI16" i="2"/>
  <c r="FJ24" i="2"/>
  <c r="FT20" i="2"/>
  <c r="FB16" i="2"/>
  <c r="FE26" i="2"/>
  <c r="FW26" i="2"/>
  <c r="FC26" i="2"/>
  <c r="FR31" i="2"/>
  <c r="FV27" i="2"/>
  <c r="FQ31" i="2"/>
  <c r="FF28" i="2"/>
  <c r="FB33" i="2"/>
  <c r="FC25" i="2"/>
  <c r="FV30" i="2"/>
  <c r="FD28" i="2"/>
  <c r="FO36" i="2"/>
  <c r="FJ27" i="2"/>
  <c r="FS29" i="2"/>
  <c r="FI27" i="2"/>
  <c r="FR29" i="2"/>
  <c r="FH27" i="2"/>
  <c r="FT32" i="2"/>
  <c r="FY29" i="2"/>
  <c r="FO27" i="2"/>
  <c r="GE40" i="2"/>
  <c r="FK38" i="2"/>
  <c r="FC38" i="2"/>
  <c r="FO40" i="2"/>
  <c r="FT39" i="2"/>
  <c r="FG34" i="2"/>
  <c r="G69" i="10" s="1"/>
  <c r="FV39" i="2"/>
  <c r="FL40" i="2"/>
  <c r="FN39" i="2"/>
  <c r="FU44" i="2"/>
  <c r="FH45" i="2"/>
  <c r="FW39" i="2"/>
  <c r="FE35" i="2"/>
  <c r="FN35" i="2"/>
  <c r="FK24" i="2"/>
  <c r="FW24" i="2"/>
  <c r="FO20" i="2"/>
  <c r="FP23" i="2"/>
  <c r="FO17" i="2"/>
  <c r="FW23" i="2"/>
  <c r="FC15" i="2"/>
  <c r="FO21" i="2"/>
  <c r="FE20" i="2"/>
  <c r="FL17" i="2"/>
  <c r="FY9" i="2"/>
  <c r="FI20" i="2"/>
  <c r="FV22" i="2"/>
  <c r="FD18" i="2"/>
  <c r="FM26" i="2"/>
  <c r="GE26" i="2"/>
  <c r="FK26" i="2"/>
  <c r="FJ31" i="2"/>
  <c r="FN27" i="2"/>
  <c r="FI31" i="2"/>
  <c r="FX31" i="2"/>
  <c r="FU28" i="2"/>
  <c r="FF42" i="2"/>
  <c r="FN30" i="2"/>
  <c r="FP33" i="2"/>
  <c r="FU31" i="2"/>
  <c r="FX25" i="2"/>
  <c r="FL31" i="2"/>
  <c r="FJ29" i="2"/>
  <c r="FS31" i="2"/>
  <c r="FF44" i="2"/>
  <c r="FH35" i="2"/>
  <c r="FU38" i="2"/>
  <c r="FM38" i="2"/>
  <c r="FW34" i="2"/>
  <c r="FY34" i="2"/>
  <c r="J75" i="10" s="1"/>
  <c r="FK45" i="2"/>
  <c r="FQ34" i="2"/>
  <c r="FJ38" i="2"/>
  <c r="FI34" i="2"/>
  <c r="G71" i="10" s="1"/>
  <c r="FD40" i="2"/>
  <c r="FZ40" i="2"/>
  <c r="FT43" i="2"/>
  <c r="FB39" i="2"/>
  <c r="FK43" i="2"/>
  <c r="FG44" i="2"/>
  <c r="FC43" i="2"/>
  <c r="FX40" i="2"/>
  <c r="FU43" i="2"/>
  <c r="FP40" i="2"/>
  <c r="FC40" i="2"/>
  <c r="FH44" i="2"/>
  <c r="FB35" i="2"/>
  <c r="FC44" i="2"/>
  <c r="FG39" i="2"/>
  <c r="FO38" i="2"/>
  <c r="FO45" i="2"/>
  <c r="FN40" i="2"/>
  <c r="FP34" i="2"/>
  <c r="FB38" i="2"/>
  <c r="FR40" i="2"/>
  <c r="FP35" i="2"/>
  <c r="FL45" i="2"/>
  <c r="FL35" i="2"/>
  <c r="FQ39" i="2"/>
  <c r="FQ43" i="2"/>
  <c r="FP44" i="2"/>
  <c r="FZ39" i="2"/>
  <c r="FL37" i="2"/>
  <c r="FI43" i="2"/>
  <c r="FH39" i="2"/>
  <c r="FI45" i="2"/>
  <c r="FS38" i="2"/>
  <c r="FI40" i="2"/>
  <c r="FZ34" i="2"/>
  <c r="FN34" i="2"/>
  <c r="FG35" i="2"/>
  <c r="FS43" i="2"/>
  <c r="FS40" i="2"/>
  <c r="FV38" i="2"/>
  <c r="FQ40" i="2"/>
  <c r="FJ44" i="2"/>
  <c r="FO44" i="2"/>
  <c r="FS34" i="2"/>
  <c r="FM44" i="2"/>
  <c r="FL44" i="2"/>
  <c r="FJ34" i="2"/>
  <c r="G75" i="10" s="1"/>
  <c r="FQ45" i="2"/>
  <c r="FF35" i="2"/>
  <c r="FG38" i="2"/>
  <c r="FS44" i="2"/>
  <c r="FF38" i="2"/>
  <c r="FF34" i="2"/>
  <c r="FD38" i="2"/>
  <c r="FY45" i="2"/>
  <c r="FD43" i="2"/>
  <c r="FD35" i="2"/>
  <c r="FC35" i="2"/>
  <c r="FX37" i="2"/>
  <c r="FT40" i="2"/>
  <c r="FZ43" i="2"/>
  <c r="FW38" i="2"/>
  <c r="FG45" i="2"/>
  <c r="FZ44" i="2"/>
  <c r="FM43" i="2"/>
  <c r="FB43" i="2"/>
  <c r="FX38" i="2"/>
  <c r="FH34" i="2"/>
  <c r="FN43" i="2"/>
  <c r="FL43" i="2"/>
  <c r="FI38" i="2"/>
  <c r="FN38" i="2"/>
  <c r="FI39" i="2"/>
  <c r="FM39" i="2"/>
  <c r="FW41" i="2"/>
  <c r="FI32" i="2"/>
  <c r="FR32" i="2"/>
  <c r="FT36" i="2"/>
  <c r="DL19" i="2"/>
  <c r="FG42" i="2"/>
  <c r="FN32" i="2"/>
  <c r="DI29" i="2"/>
  <c r="FM13" i="2"/>
  <c r="FI41" i="2"/>
  <c r="FN41" i="2"/>
  <c r="FV33" i="2"/>
  <c r="DK25" i="2"/>
  <c r="DJ13" i="2"/>
  <c r="FX42" i="2"/>
  <c r="FL32" i="2"/>
  <c r="FI53" i="2"/>
  <c r="DG47" i="2"/>
  <c r="FF51" i="2"/>
  <c r="GA50" i="2"/>
  <c r="GB48" i="2"/>
  <c r="CG47" i="9"/>
  <c r="GD47" i="2"/>
  <c r="FP53" i="2"/>
  <c r="CE47" i="9"/>
  <c r="GB47" i="2"/>
  <c r="GE48" i="2"/>
  <c r="FN48" i="2"/>
  <c r="FS50" i="2"/>
  <c r="FH53" i="2"/>
  <c r="FR52" i="2"/>
  <c r="FW52" i="2"/>
  <c r="FC50" i="2"/>
  <c r="DH52" i="2"/>
  <c r="DH48" i="2"/>
  <c r="GE53" i="2"/>
  <c r="FB48" i="2"/>
  <c r="FQ53" i="2"/>
  <c r="FO52" i="2"/>
  <c r="DK49" i="2"/>
  <c r="FY50" i="2"/>
  <c r="FV51" i="2"/>
  <c r="FQ49" i="2"/>
  <c r="GD53" i="2"/>
  <c r="FL53" i="2"/>
  <c r="DL47" i="2"/>
  <c r="FE52" i="2"/>
  <c r="DM50" i="2"/>
  <c r="FW48" i="2"/>
  <c r="GC48" i="2"/>
  <c r="DJ53" i="2"/>
  <c r="FZ50" i="2"/>
  <c r="GE49" i="2"/>
  <c r="FQ48" i="2"/>
  <c r="FZ49" i="2"/>
  <c r="FN52" i="2"/>
  <c r="FJ50" i="2"/>
  <c r="FG49" i="2"/>
  <c r="FN49" i="2"/>
  <c r="FR49" i="2"/>
  <c r="FF52" i="2"/>
  <c r="FB50" i="2"/>
  <c r="DJ49" i="2"/>
  <c r="FS48" i="2"/>
  <c r="FG52" i="2"/>
  <c r="FK50" i="2"/>
  <c r="FJ49" i="2"/>
  <c r="FG48" i="2"/>
  <c r="FR50" i="2"/>
  <c r="FI49" i="2"/>
  <c r="FU50" i="2"/>
  <c r="FL48" i="2"/>
  <c r="FG50" i="2"/>
  <c r="FT49" i="2"/>
  <c r="FY53" i="2"/>
  <c r="GE52" i="2"/>
  <c r="DJ48" i="2"/>
  <c r="GB52" i="2"/>
  <c r="FV52" i="2"/>
  <c r="FN51" i="2"/>
  <c r="DL50" i="2"/>
  <c r="FV48" i="2"/>
  <c r="FW49" i="2"/>
  <c r="FW53" i="2"/>
  <c r="FY49" i="2"/>
  <c r="GD48" i="2"/>
  <c r="DI48" i="2"/>
  <c r="FO49" i="2"/>
  <c r="FT48" i="2"/>
  <c r="GC52" i="2"/>
  <c r="DG52" i="2"/>
  <c r="DG53" i="2"/>
  <c r="DN52" i="2"/>
  <c r="FF49" i="2"/>
  <c r="FK48" i="2"/>
  <c r="FX50" i="2"/>
  <c r="FJ52" i="2"/>
  <c r="DM53" i="2"/>
  <c r="FM50" i="2"/>
  <c r="FL49" i="2"/>
  <c r="FI48" i="2"/>
  <c r="GC53" i="2"/>
  <c r="DN50" i="2"/>
  <c r="FW51" i="2"/>
  <c r="DN51" i="2"/>
  <c r="FU51" i="2"/>
  <c r="FL51" i="2"/>
  <c r="GA52" i="2"/>
  <c r="FC48" i="2"/>
  <c r="FU53" i="2"/>
  <c r="FB52" i="2"/>
  <c r="DH50" i="2"/>
  <c r="FI50" i="2"/>
  <c r="FL52" i="2"/>
  <c r="GA53" i="2"/>
  <c r="DL52" i="2"/>
  <c r="FE50" i="2"/>
  <c r="FD49" i="2"/>
  <c r="FQ50" i="2"/>
  <c r="GB53" i="2"/>
  <c r="DL53" i="2"/>
  <c r="FX48" i="2"/>
  <c r="FD48" i="2"/>
  <c r="FS52" i="2"/>
  <c r="FT53" i="2"/>
  <c r="GD50" i="2"/>
  <c r="DN49" i="2"/>
  <c r="FS53" i="2"/>
  <c r="FY52" i="2"/>
  <c r="FP49" i="2"/>
  <c r="FD53" i="2"/>
  <c r="FX52" i="2"/>
  <c r="FH51" i="2"/>
  <c r="GA49" i="2"/>
  <c r="DK51" i="2"/>
  <c r="DG51" i="2"/>
  <c r="DQ51" i="2" s="1"/>
  <c r="FB49" i="2"/>
  <c r="FO48" i="2"/>
  <c r="FM52" i="2"/>
  <c r="FX53" i="2"/>
  <c r="GD52" i="2"/>
  <c r="FF48" i="2"/>
  <c r="FP50" i="2"/>
  <c r="FH49" i="2"/>
  <c r="FK52" i="2"/>
  <c r="FC51" i="2"/>
  <c r="FX49" i="2"/>
  <c r="FV50" i="2"/>
  <c r="GC49" i="2"/>
  <c r="DM48" i="2"/>
  <c r="FT51" i="2"/>
  <c r="FK53" i="2"/>
  <c r="FQ52" i="2"/>
  <c r="FY51" i="2"/>
  <c r="FU48" i="2"/>
  <c r="FH52" i="2"/>
  <c r="GB50" i="2"/>
  <c r="FS49" i="2"/>
  <c r="DK48" i="2"/>
  <c r="FM48" i="2"/>
  <c r="FE53" i="2"/>
  <c r="FC52" i="2"/>
  <c r="GE50" i="2"/>
  <c r="DI50" i="2"/>
  <c r="DH49" i="2"/>
  <c r="DN53" i="2"/>
  <c r="FN50" i="2"/>
  <c r="FU49" i="2"/>
  <c r="FZ48" i="2"/>
  <c r="FH50" i="2"/>
  <c r="FC53" i="2"/>
  <c r="FI52" i="2"/>
  <c r="FQ51" i="2"/>
  <c r="DL48" i="2"/>
  <c r="FN53" i="2"/>
  <c r="FR53" i="2"/>
  <c r="FT50" i="2"/>
  <c r="FC49" i="2"/>
  <c r="FF53" i="2"/>
  <c r="FW50" i="2"/>
  <c r="GD49" i="2"/>
  <c r="DG49" i="2"/>
  <c r="DP49" i="2" s="1"/>
  <c r="FV53" i="2"/>
  <c r="DM52" i="2"/>
  <c r="FF50" i="2"/>
  <c r="FM49" i="2"/>
  <c r="FR48" i="2"/>
  <c r="FO53" i="2"/>
  <c r="FI51" i="2"/>
  <c r="DG50" i="2"/>
  <c r="DO50" i="2" s="1"/>
  <c r="FB53" i="2"/>
  <c r="FL50" i="2"/>
  <c r="FO50" i="2"/>
  <c r="FV49" i="2"/>
  <c r="GA48" i="2"/>
  <c r="FT52" i="2"/>
  <c r="FZ52" i="2"/>
  <c r="FE49" i="2"/>
  <c r="FJ48" i="2"/>
  <c r="FU52" i="2"/>
  <c r="FE48" i="2"/>
  <c r="FM53" i="2"/>
  <c r="GC50" i="2"/>
  <c r="GB49" i="2"/>
  <c r="FY48" i="2"/>
  <c r="FG53" i="2"/>
  <c r="FD52" i="2"/>
  <c r="FG51" i="2"/>
  <c r="DG54" i="2"/>
  <c r="DL54" i="2"/>
  <c r="FT46" i="2"/>
  <c r="M46" i="9"/>
  <c r="DJ47" i="2"/>
  <c r="FH48" i="2"/>
  <c r="CE46" i="9"/>
  <c r="GB46" i="2"/>
  <c r="DL51" i="2"/>
  <c r="FZ53" i="2"/>
  <c r="FD50" i="2"/>
  <c r="FK49" i="2"/>
  <c r="FP48" i="2"/>
  <c r="FJ53" i="2"/>
  <c r="FP52" i="2"/>
  <c r="CH47" i="9"/>
  <c r="GE47" i="2"/>
  <c r="DI51" i="2"/>
  <c r="FK47" i="2"/>
  <c r="FM57" i="2"/>
  <c r="FN59" i="2"/>
  <c r="FM60" i="2"/>
  <c r="FD68" i="2"/>
  <c r="FW67" i="2"/>
  <c r="FB55" i="2"/>
  <c r="FY57" i="2"/>
  <c r="FF55" i="2"/>
  <c r="FR61" i="2"/>
  <c r="FI61" i="2"/>
  <c r="FL65" i="2"/>
  <c r="FK66" i="2"/>
  <c r="FG68" i="2"/>
  <c r="FZ67" i="2"/>
  <c r="FV69" i="2"/>
  <c r="FV58" i="2"/>
  <c r="FB63" i="2"/>
  <c r="FX63" i="2"/>
  <c r="FY65" i="2"/>
  <c r="FH65" i="2"/>
  <c r="FI67" i="2"/>
  <c r="FY47" i="2"/>
  <c r="FU56" i="2"/>
  <c r="FN58" i="2"/>
  <c r="FY62" i="2"/>
  <c r="FP63" i="2"/>
  <c r="FS67" i="2"/>
  <c r="FJ67" i="2"/>
  <c r="FF69" i="2"/>
  <c r="FI59" i="2"/>
  <c r="FK54" i="2"/>
  <c r="FG60" i="2"/>
  <c r="FD59" i="2"/>
  <c r="GD62" i="2"/>
  <c r="FU62" i="2"/>
  <c r="FN64" i="2"/>
  <c r="FV60" i="2"/>
  <c r="FC65" i="2"/>
  <c r="FE56" i="2"/>
  <c r="GD59" i="2"/>
  <c r="FY56" i="2"/>
  <c r="FT60" i="2"/>
  <c r="FK60" i="2"/>
  <c r="FB60" i="2"/>
  <c r="FJ56" i="2"/>
  <c r="FT68" i="2"/>
  <c r="FF66" i="2"/>
  <c r="FB68" i="2"/>
  <c r="FD67" i="2"/>
  <c r="FV68" i="2"/>
  <c r="FM68" i="2"/>
  <c r="FY59" i="2"/>
  <c r="FX58" i="2"/>
  <c r="FY63" i="2"/>
  <c r="FD66" i="2"/>
  <c r="FY55" i="2"/>
  <c r="FL66" i="2"/>
  <c r="FT55" i="2"/>
  <c r="FL57" i="2"/>
  <c r="GD65" i="2"/>
  <c r="FU65" i="2"/>
  <c r="FS69" i="2"/>
  <c r="FV47" i="2"/>
  <c r="GD69" i="2"/>
  <c r="FE67" i="2"/>
  <c r="FH59" i="2"/>
  <c r="FJ63" i="2"/>
  <c r="FI64" i="2"/>
  <c r="FB66" i="2"/>
  <c r="FP65" i="2"/>
  <c r="FQ67" i="2"/>
  <c r="FI55" i="2"/>
  <c r="FW60" i="2"/>
  <c r="FV61" i="2"/>
  <c r="FO63" i="2"/>
  <c r="FF63" i="2"/>
  <c r="GD64" i="2"/>
  <c r="FB64" i="2"/>
  <c r="FB69" i="2"/>
  <c r="FS54" i="2"/>
  <c r="FL56" i="2"/>
  <c r="FO60" i="2"/>
  <c r="FN61" i="2"/>
  <c r="FQ65" i="2"/>
  <c r="GE64" i="2"/>
  <c r="FX66" i="2"/>
  <c r="FC47" i="2"/>
  <c r="FE69" i="2"/>
  <c r="FH47" i="2"/>
  <c r="FE58" i="2"/>
  <c r="FU59" i="2"/>
  <c r="GB69" i="2"/>
  <c r="FJ55" i="2"/>
  <c r="GB63" i="2"/>
  <c r="FS63" i="2"/>
  <c r="FV67" i="2"/>
  <c r="FX68" i="2"/>
  <c r="FF68" i="2"/>
  <c r="FY67" i="2"/>
  <c r="GE60" i="2"/>
  <c r="GD61" i="2"/>
  <c r="FW63" i="2"/>
  <c r="FN63" i="2"/>
  <c r="FG65" i="2"/>
  <c r="GA65" i="2"/>
  <c r="FU69" i="2"/>
  <c r="FX47" i="2"/>
  <c r="FT59" i="2"/>
  <c r="FM61" i="2"/>
  <c r="FD61" i="2"/>
  <c r="GB62" i="2"/>
  <c r="FM69" i="2"/>
  <c r="FP47" i="2"/>
  <c r="FM58" i="2"/>
  <c r="FL59" i="2"/>
  <c r="FG63" i="2"/>
  <c r="GC62" i="2"/>
  <c r="FV64" i="2"/>
  <c r="FG66" i="2"/>
  <c r="GC65" i="2"/>
  <c r="GD67" i="2"/>
  <c r="FI69" i="2"/>
  <c r="FP59" i="2"/>
  <c r="FG59" i="2"/>
  <c r="FR63" i="2"/>
  <c r="FQ64" i="2"/>
  <c r="FJ66" i="2"/>
  <c r="FV63" i="2"/>
  <c r="FM63" i="2"/>
  <c r="FM67" i="2"/>
  <c r="GC69" i="2"/>
  <c r="FL69" i="2"/>
  <c r="FW47" i="2"/>
  <c r="FZ57" i="2"/>
  <c r="FS59" i="2"/>
  <c r="FJ59" i="2"/>
  <c r="FC61" i="2"/>
  <c r="FF60" i="2"/>
  <c r="FN65" i="2"/>
  <c r="FG67" i="2"/>
  <c r="FQ54" i="2"/>
  <c r="FI57" i="2"/>
  <c r="FW56" i="2"/>
  <c r="GD60" i="2"/>
  <c r="FE59" i="2"/>
  <c r="FF65" i="2"/>
  <c r="GD66" i="2"/>
  <c r="FI54" i="2"/>
  <c r="FC59" i="2"/>
  <c r="FY58" i="2"/>
  <c r="FR60" i="2"/>
  <c r="GA62" i="2"/>
  <c r="FT64" i="2"/>
  <c r="FR68" i="2"/>
  <c r="FT67" i="2"/>
  <c r="FN54" i="2"/>
  <c r="FU64" i="2"/>
  <c r="FN66" i="2"/>
  <c r="FJ68" i="2"/>
  <c r="FL67" i="2"/>
  <c r="FH69" i="2"/>
  <c r="GD68" i="2"/>
  <c r="FU68" i="2"/>
  <c r="FI60" i="2"/>
  <c r="FV59" i="2"/>
  <c r="FN62" i="2"/>
  <c r="FC60" i="2"/>
  <c r="FI68" i="2"/>
  <c r="FZ64" i="2"/>
  <c r="FT66" i="2"/>
  <c r="FF62" i="2"/>
  <c r="FI63" i="2"/>
  <c r="FZ69" i="2"/>
  <c r="FQ47" i="2"/>
  <c r="FW61" i="2"/>
  <c r="FC57" i="2"/>
  <c r="FM47" i="2"/>
  <c r="FC62" i="2"/>
  <c r="FY61" i="2"/>
  <c r="FZ63" i="2"/>
  <c r="FY64" i="2"/>
  <c r="FR66" i="2"/>
  <c r="FL55" i="2"/>
  <c r="FF59" i="2"/>
  <c r="FE60" i="2"/>
  <c r="GC61" i="2"/>
  <c r="FR59" i="2"/>
  <c r="FJ64" i="2"/>
  <c r="FV65" i="2"/>
  <c r="FM65" i="2"/>
  <c r="FK69" i="2"/>
  <c r="FN47" i="2"/>
  <c r="FG55" i="2"/>
  <c r="FJ61" i="2"/>
  <c r="FC63" i="2"/>
  <c r="FF67" i="2"/>
  <c r="FH68" i="2"/>
  <c r="FW69" i="2"/>
  <c r="FR47" i="2"/>
  <c r="FB61" i="2"/>
  <c r="FZ62" i="2"/>
  <c r="GC66" i="2"/>
  <c r="GB67" i="2"/>
  <c r="FM54" i="2"/>
  <c r="FB56" i="2"/>
  <c r="FX59" i="2"/>
  <c r="FO59" i="2"/>
  <c r="FP61" i="2"/>
  <c r="FO62" i="2"/>
  <c r="FH64" i="2"/>
  <c r="FT69" i="2"/>
  <c r="FD57" i="2"/>
  <c r="FC58" i="2"/>
  <c r="GA59" i="2"/>
  <c r="FH57" i="2"/>
  <c r="FX54" i="2"/>
  <c r="GE61" i="2"/>
  <c r="FT63" i="2"/>
  <c r="FK63" i="2"/>
  <c r="FN67" i="2"/>
  <c r="FP68" i="2"/>
  <c r="GE69" i="2"/>
  <c r="FZ47" i="2"/>
  <c r="FS65" i="2"/>
  <c r="FX60" i="2"/>
  <c r="FD65" i="2"/>
  <c r="FC66" i="2"/>
  <c r="GA67" i="2"/>
  <c r="FR67" i="2"/>
  <c r="FN69" i="2"/>
  <c r="FN60" i="2"/>
  <c r="GA63" i="2"/>
  <c r="FW68" i="2"/>
  <c r="FS66" i="2"/>
  <c r="FK61" i="2"/>
  <c r="FF56" i="2"/>
  <c r="GB59" i="2"/>
  <c r="FE63" i="2"/>
  <c r="FC69" i="2"/>
  <c r="FB59" i="2"/>
  <c r="FS68" i="2"/>
  <c r="FS64" i="2"/>
  <c r="GC68" i="2"/>
  <c r="FK68" i="2"/>
  <c r="FK64" i="2"/>
  <c r="FO54" i="2"/>
  <c r="FF54" i="2"/>
  <c r="FF64" i="2"/>
  <c r="FE47" i="2"/>
  <c r="FM64" i="2"/>
  <c r="FS55" i="2"/>
  <c r="FQ69" i="2"/>
  <c r="GE68" i="2"/>
  <c r="FE62" i="2"/>
  <c r="FE55" i="2"/>
  <c r="FQ60" i="2"/>
  <c r="FO61" i="2"/>
  <c r="FD47" i="2"/>
  <c r="FZ61" i="2"/>
  <c r="FG62" i="2"/>
  <c r="FX67" i="2"/>
  <c r="FP55" i="2"/>
  <c r="FP62" i="2"/>
  <c r="FU54" i="2"/>
  <c r="FT62" i="2"/>
  <c r="FV66" i="2"/>
  <c r="FQ62" i="2"/>
  <c r="FT47" i="2"/>
  <c r="FG69" i="2"/>
  <c r="FP66" i="2"/>
  <c r="GB68" i="2"/>
  <c r="FL64" i="2"/>
  <c r="FI62" i="2"/>
  <c r="FL47" i="2"/>
  <c r="FY66" i="2"/>
  <c r="FD62" i="2"/>
  <c r="FK62" i="2"/>
  <c r="FB65" i="2"/>
  <c r="FZ66" i="2"/>
  <c r="FX57" i="2"/>
  <c r="FT58" i="2"/>
  <c r="FG61" i="2"/>
  <c r="FX62" i="2"/>
  <c r="FW58" i="2"/>
  <c r="FK67" i="2"/>
  <c r="FY69" i="2"/>
  <c r="FQ63" i="2"/>
  <c r="GE65" i="2"/>
  <c r="FR69" i="2"/>
  <c r="GA61" i="2"/>
  <c r="FQ68" i="2"/>
  <c r="GA69" i="2"/>
  <c r="FD55" i="2"/>
  <c r="FP67" i="2"/>
  <c r="FF47" i="2"/>
  <c r="FZ60" i="2"/>
  <c r="FH67" i="2"/>
  <c r="FZ68" i="2"/>
  <c r="FX69" i="2"/>
  <c r="FQ59" i="2"/>
  <c r="FR62" i="2"/>
  <c r="FC56" i="2"/>
  <c r="FB67" i="2"/>
  <c r="FL62" i="2"/>
  <c r="FW66" i="2"/>
  <c r="FJ62" i="2"/>
  <c r="FO64" i="2"/>
  <c r="FS57" i="2"/>
  <c r="FW62" i="2"/>
  <c r="FP64" i="2"/>
  <c r="FV55" i="2"/>
  <c r="FI66" i="2"/>
  <c r="GB61" i="2"/>
  <c r="FD69" i="2"/>
  <c r="FX56" i="2"/>
  <c r="FS60" i="2"/>
  <c r="FX64" i="2"/>
  <c r="FC64" i="2"/>
  <c r="FZ59" i="2"/>
  <c r="FQ66" i="2"/>
  <c r="FL54" i="2"/>
  <c r="GB65" i="2"/>
  <c r="FQ61" i="2"/>
  <c r="FO68" i="2"/>
  <c r="FO67" i="2"/>
  <c r="FL63" i="2"/>
  <c r="FR57" i="2"/>
  <c r="FD63" i="2"/>
  <c r="GA64" i="2"/>
  <c r="FE61" i="2"/>
  <c r="GE66" i="2"/>
  <c r="FH60" i="2"/>
  <c r="FP69" i="2"/>
  <c r="FW64" i="2"/>
  <c r="FJ60" i="2"/>
  <c r="FG57" i="2"/>
  <c r="FS62" i="2"/>
  <c r="GE59" i="2"/>
  <c r="FC67" i="2"/>
  <c r="FM62" i="2"/>
  <c r="FE66" i="2"/>
  <c r="FU60" i="2"/>
  <c r="FL60" i="2"/>
  <c r="FE68" i="2"/>
  <c r="FU63" i="2"/>
  <c r="FD60" i="2"/>
  <c r="FU67" i="2"/>
  <c r="GC59" i="2"/>
  <c r="FH54" i="2"/>
  <c r="FZ54" i="2"/>
  <c r="GC64" i="2"/>
  <c r="FP58" i="2"/>
  <c r="FC68" i="2"/>
  <c r="FL58" i="2"/>
  <c r="GC67" i="2"/>
  <c r="GD63" i="2"/>
  <c r="FE57" i="2"/>
  <c r="GE63" i="2"/>
  <c r="FU61" i="2"/>
  <c r="FK56" i="2"/>
  <c r="FR65" i="2"/>
  <c r="FK57" i="2"/>
  <c r="FQ56" i="2"/>
  <c r="FT57" i="2"/>
  <c r="FQ55" i="2"/>
  <c r="FN68" i="2"/>
  <c r="FL68" i="2"/>
  <c r="GA66" i="2"/>
  <c r="FX65" i="2"/>
  <c r="FR56" i="2"/>
  <c r="FQ57" i="2"/>
  <c r="FE65" i="2"/>
  <c r="GA68" i="2"/>
  <c r="FO69" i="2"/>
  <c r="FY60" i="2"/>
  <c r="FH63" i="2"/>
  <c r="FI65" i="2"/>
  <c r="FQ58" i="2"/>
  <c r="FG58" i="2"/>
  <c r="FJ65" i="2"/>
  <c r="FV62" i="2"/>
  <c r="FD64" i="2"/>
  <c r="FX61" i="2"/>
  <c r="FG54" i="2"/>
  <c r="GC63" i="2"/>
  <c r="FK65" i="2"/>
  <c r="FS61" i="2"/>
  <c r="FR64" i="2"/>
  <c r="FY68" i="2"/>
  <c r="FB62" i="2"/>
  <c r="FE64" i="2"/>
  <c r="FT65" i="2"/>
  <c r="FT61" i="2"/>
  <c r="FL61" i="2"/>
  <c r="FU55" i="2"/>
  <c r="FU47" i="2"/>
  <c r="FO47" i="2"/>
  <c r="FK59" i="2"/>
  <c r="GB64" i="2"/>
  <c r="FZ65" i="2"/>
  <c r="GA60" i="2"/>
  <c r="FF61" i="2"/>
  <c r="GB60" i="2"/>
  <c r="FG56" i="2"/>
  <c r="FH58" i="2"/>
  <c r="FC54" i="2"/>
  <c r="GE62" i="2"/>
  <c r="FR58" i="2"/>
  <c r="GB66" i="2"/>
  <c r="GE67" i="2"/>
  <c r="FH61" i="2"/>
  <c r="FO65" i="2"/>
  <c r="FY54" i="2"/>
  <c r="FP60" i="2"/>
  <c r="FH62" i="2"/>
  <c r="FM56" i="2"/>
  <c r="FU66" i="2"/>
  <c r="FB57" i="2"/>
  <c r="FM66" i="2"/>
  <c r="GC60" i="2"/>
  <c r="FH56" i="2"/>
  <c r="FH66" i="2"/>
  <c r="FM59" i="2"/>
  <c r="FJ69" i="2"/>
  <c r="FO66" i="2"/>
  <c r="FW59" i="2"/>
  <c r="FG64" i="2"/>
  <c r="FW65" i="2"/>
  <c r="AE56" i="9"/>
  <c r="EB56" i="2" s="1"/>
  <c r="AF12" i="9"/>
  <c r="EC12" i="2" s="1"/>
  <c r="D44" i="11"/>
  <c r="D45" i="11" s="1"/>
  <c r="AH46" i="9"/>
  <c r="EE46" i="2" s="1"/>
  <c r="F43" i="11"/>
  <c r="F32" i="13"/>
  <c r="AB47" i="9"/>
  <c r="DY47" i="2" s="1"/>
  <c r="D33" i="13"/>
  <c r="F33" i="13"/>
  <c r="G53" i="11"/>
  <c r="D54" i="11"/>
  <c r="D55" i="11"/>
  <c r="F53" i="11"/>
  <c r="F51" i="14"/>
  <c r="D52" i="14"/>
  <c r="F52" i="14" s="1"/>
  <c r="AJ56" i="9"/>
  <c r="Z33" i="9"/>
  <c r="DW33" i="2" s="1"/>
  <c r="Z57" i="9"/>
  <c r="DW57" i="2" s="1"/>
  <c r="F58" i="12"/>
  <c r="F59" i="12"/>
  <c r="F38" i="18"/>
  <c r="F39" i="18"/>
  <c r="D39" i="18"/>
  <c r="D40" i="18" s="1"/>
  <c r="G38" i="18"/>
  <c r="AI56" i="9"/>
  <c r="EF56" i="2" s="1"/>
  <c r="Y56" i="9"/>
  <c r="DV56" i="2" s="1"/>
  <c r="AD56" i="9"/>
  <c r="EA56" i="2" s="1"/>
  <c r="AN56" i="9"/>
  <c r="EK56" i="2" s="1"/>
  <c r="F60" i="11"/>
  <c r="D61" i="11"/>
  <c r="F61" i="11" s="1"/>
  <c r="F40" i="11"/>
  <c r="AG14" i="9"/>
  <c r="ED14" i="2" s="1"/>
  <c r="D41" i="11"/>
  <c r="F41" i="11"/>
  <c r="AP47" i="9"/>
  <c r="EM47" i="2" s="1"/>
  <c r="F44" i="12"/>
  <c r="F43" i="12"/>
  <c r="AI12" i="9"/>
  <c r="EF12" i="2" s="1"/>
  <c r="AS12" i="9"/>
  <c r="EP12" i="2" s="1"/>
  <c r="AD12" i="9"/>
  <c r="EA12" i="2" s="1"/>
  <c r="AN12" i="9"/>
  <c r="EK12" i="2" s="1"/>
  <c r="F46" i="14"/>
  <c r="D47" i="14"/>
  <c r="F47" i="14"/>
  <c r="AG33" i="9"/>
  <c r="ED33" i="2" s="1"/>
  <c r="AT33" i="9"/>
  <c r="EQ33" i="2" s="1"/>
  <c r="AG34" i="9"/>
  <c r="ED42" i="2" s="1"/>
  <c r="AU33" i="9"/>
  <c r="ER33" i="2" s="1"/>
  <c r="AV33" i="9"/>
  <c r="ES33" i="2" s="1"/>
  <c r="AL33" i="9"/>
  <c r="EI33" i="2" s="1"/>
  <c r="AA33" i="9"/>
  <c r="DX33" i="2" s="1"/>
  <c r="AO33" i="9"/>
  <c r="EL33" i="2" s="1"/>
  <c r="AQ33" i="9"/>
  <c r="EN33" i="2" s="1"/>
  <c r="AB33" i="9"/>
  <c r="DY33" i="2" s="1"/>
  <c r="AK33" i="9"/>
  <c r="EH33" i="2" s="1"/>
  <c r="AE47" i="9"/>
  <c r="EB47" i="2" s="1"/>
  <c r="AU46" i="9"/>
  <c r="ER46" i="2" s="1"/>
  <c r="AA47" i="9"/>
  <c r="DX47" i="2" s="1"/>
  <c r="AQ46" i="9"/>
  <c r="EN46" i="2" s="1"/>
  <c r="AV46" i="9"/>
  <c r="ES46" i="2" s="1"/>
  <c r="AL46" i="9"/>
  <c r="EI46" i="2" s="1"/>
  <c r="AB46" i="9"/>
  <c r="DY46" i="2" s="1"/>
  <c r="AK47" i="9"/>
  <c r="EH47" i="2" s="1"/>
  <c r="AR46" i="9"/>
  <c r="EO46" i="2" s="1"/>
  <c r="AU47" i="9"/>
  <c r="ER47" i="2" s="1"/>
  <c r="AD47" i="9"/>
  <c r="EA47" i="2" s="1"/>
  <c r="AC46" i="9"/>
  <c r="DZ46" i="2" s="1"/>
  <c r="AO47" i="9"/>
  <c r="EL47" i="2" s="1"/>
  <c r="D89" i="11"/>
  <c r="D90" i="11"/>
  <c r="F89" i="11"/>
  <c r="F88" i="11"/>
  <c r="G88" i="11"/>
  <c r="D61" i="18"/>
  <c r="F61" i="18" s="1"/>
  <c r="F60" i="18"/>
  <c r="AE57" i="9"/>
  <c r="EB57" i="2" s="1"/>
  <c r="AF57" i="9"/>
  <c r="EC57" i="2" s="1"/>
  <c r="AA57" i="9"/>
  <c r="DX57" i="2" s="1"/>
  <c r="AD57" i="9"/>
  <c r="EA57" i="2" s="1"/>
  <c r="AT56" i="9"/>
  <c r="EQ56" i="2" s="1"/>
  <c r="AI47" i="9"/>
  <c r="EF47" i="2" s="1"/>
  <c r="AS47" i="9"/>
  <c r="EP47" i="2" s="1"/>
  <c r="AF46" i="9"/>
  <c r="EC46" i="2" s="1"/>
  <c r="F54" i="12"/>
  <c r="D54" i="12"/>
  <c r="D55" i="12" s="1"/>
  <c r="G53" i="12"/>
  <c r="F53" i="12"/>
  <c r="AN47" i="9"/>
  <c r="EK47" i="2" s="1"/>
  <c r="D76" i="18"/>
  <c r="F76" i="18"/>
  <c r="F75" i="18"/>
  <c r="D86" i="18"/>
  <c r="F86" i="18"/>
  <c r="F85" i="18"/>
  <c r="AF47" i="9"/>
  <c r="EC47" i="2" s="1"/>
  <c r="AW46" i="9"/>
  <c r="ET46" i="2" s="1"/>
  <c r="Z47" i="9"/>
  <c r="AP46" i="9"/>
  <c r="EM46" i="2" s="1"/>
  <c r="AG46" i="9"/>
  <c r="ED46" i="2" s="1"/>
  <c r="D97" i="14"/>
  <c r="F97" i="14"/>
  <c r="F96" i="14"/>
  <c r="F91" i="14"/>
  <c r="D92" i="14"/>
  <c r="F92" i="14" s="1"/>
  <c r="Z12" i="9"/>
  <c r="DW12" i="2" s="1"/>
  <c r="AE12" i="9"/>
  <c r="EB12" i="2" s="1"/>
  <c r="AJ12" i="9"/>
  <c r="EG12" i="2" s="1"/>
  <c r="Y13" i="9"/>
  <c r="DV13" i="2" s="1"/>
  <c r="AN13" i="9"/>
  <c r="EK13" i="2" s="1"/>
  <c r="AO12" i="9"/>
  <c r="EL12" i="2" s="1"/>
  <c r="AP12" i="9"/>
  <c r="EM12" i="2" s="1"/>
  <c r="AA12" i="9"/>
  <c r="DX12" i="2" s="1"/>
  <c r="AR12" i="9"/>
  <c r="EO12" i="2" s="1"/>
  <c r="AW12" i="9"/>
  <c r="ET12" i="2" s="1"/>
  <c r="AG13" i="9"/>
  <c r="ED13" i="2" s="1"/>
  <c r="AQ13" i="9"/>
  <c r="EN13" i="2" s="1"/>
  <c r="AU12" i="9"/>
  <c r="ER12" i="2" s="1"/>
  <c r="AS13" i="9"/>
  <c r="EP13" i="2" s="1"/>
  <c r="AI14" i="9"/>
  <c r="EF14" i="2" s="1"/>
  <c r="AV13" i="9"/>
  <c r="ES13" i="2" s="1"/>
  <c r="Z14" i="9"/>
  <c r="DW14" i="2" s="1"/>
  <c r="AA13" i="9"/>
  <c r="DX13" i="2" s="1"/>
  <c r="AT14" i="9"/>
  <c r="EQ14" i="2" s="1"/>
  <c r="AH13" i="9"/>
  <c r="EE13" i="2" s="1"/>
  <c r="AE14" i="9"/>
  <c r="EB14" i="2" s="1"/>
  <c r="GG14" i="2" s="1"/>
  <c r="AF14" i="9"/>
  <c r="EC14" i="2" s="1"/>
  <c r="AO13" i="9"/>
  <c r="EL13" i="2" s="1"/>
  <c r="AE13" i="9"/>
  <c r="EB13" i="2" s="1"/>
  <c r="AJ13" i="9"/>
  <c r="EG13" i="2" s="1"/>
  <c r="AD14" i="9"/>
  <c r="EA14" i="2" s="1"/>
  <c r="AC13" i="9"/>
  <c r="DZ13" i="2" s="1"/>
  <c r="AM12" i="9"/>
  <c r="EJ12" i="2" s="1"/>
  <c r="AM13" i="9"/>
  <c r="EJ13" i="2" s="1"/>
  <c r="AJ14" i="9"/>
  <c r="EG14" i="2" s="1"/>
  <c r="AG12" i="9"/>
  <c r="ED12" i="2" s="1"/>
  <c r="AI13" i="9"/>
  <c r="EF13" i="2" s="1"/>
  <c r="AK12" i="9"/>
  <c r="EH12" i="2" s="1"/>
  <c r="AV12" i="9"/>
  <c r="ES12" i="2" s="1"/>
  <c r="AC12" i="9"/>
  <c r="DZ12" i="2" s="1"/>
  <c r="AS14" i="9"/>
  <c r="EP14" i="2" s="1"/>
  <c r="AK13" i="9"/>
  <c r="EH13" i="2" s="1"/>
  <c r="AP13" i="9"/>
  <c r="EM13" i="2" s="1"/>
  <c r="AB13" i="9"/>
  <c r="DY13" i="2" s="1"/>
  <c r="AK14" i="9"/>
  <c r="EH14" i="2" s="1"/>
  <c r="AD13" i="9"/>
  <c r="EA13" i="2" s="1"/>
  <c r="AL12" i="9"/>
  <c r="EI12" i="2" s="1"/>
  <c r="AT13" i="9"/>
  <c r="EQ13" i="2" s="1"/>
  <c r="AF13" i="9"/>
  <c r="EC13" i="2" s="1"/>
  <c r="AN14" i="9"/>
  <c r="EK14" i="2" s="1"/>
  <c r="AA14" i="9"/>
  <c r="DX14" i="2" s="1"/>
  <c r="AQ12" i="9"/>
  <c r="EN12" i="2" s="1"/>
  <c r="AP14" i="9"/>
  <c r="EM14" i="2" s="1"/>
  <c r="AO14" i="9"/>
  <c r="EL14" i="2" s="1"/>
  <c r="AH12" i="9"/>
  <c r="EE12" i="2" s="1"/>
  <c r="AW13" i="9"/>
  <c r="ET13" i="2" s="1"/>
  <c r="Y14" i="9"/>
  <c r="DV14" i="2" s="1"/>
  <c r="AR13" i="9"/>
  <c r="EO13" i="2" s="1"/>
  <c r="AU14" i="9"/>
  <c r="ER14" i="2" s="1"/>
  <c r="AB12" i="9"/>
  <c r="DY12" i="2" s="1"/>
  <c r="Z13" i="9"/>
  <c r="DW13" i="2" s="1"/>
  <c r="AU13" i="9"/>
  <c r="ER13" i="2" s="1"/>
  <c r="AL13" i="9"/>
  <c r="EI13" i="2" s="1"/>
  <c r="AT12" i="9"/>
  <c r="EQ12" i="2" s="1"/>
  <c r="F80" i="11"/>
  <c r="D81" i="11"/>
  <c r="F81" i="11" s="1"/>
  <c r="D66" i="18"/>
  <c r="F66" i="18"/>
  <c r="F65" i="18"/>
  <c r="F84" i="11"/>
  <c r="D84" i="11"/>
  <c r="D85" i="11" s="1"/>
  <c r="G83" i="11"/>
  <c r="F83" i="11"/>
  <c r="F70" i="11"/>
  <c r="D71" i="11"/>
  <c r="F71" i="11"/>
  <c r="D38" i="13"/>
  <c r="F38" i="13"/>
  <c r="F37" i="13"/>
  <c r="F50" i="18"/>
  <c r="D51" i="18"/>
  <c r="F51" i="18"/>
  <c r="F63" i="11"/>
  <c r="G63" i="11"/>
  <c r="D64" i="11"/>
  <c r="D65" i="11"/>
  <c r="F64" i="11"/>
  <c r="D77" i="14"/>
  <c r="F77" i="14"/>
  <c r="F76" i="14"/>
  <c r="DH57" i="2"/>
  <c r="DH25" i="2"/>
  <c r="AC56" i="9"/>
  <c r="DZ56" i="2" s="1"/>
  <c r="G63" i="10"/>
  <c r="E64" i="10"/>
  <c r="E58" i="10"/>
  <c r="G64" i="10"/>
  <c r="G62" i="10"/>
  <c r="G58" i="10"/>
  <c r="E65" i="10"/>
  <c r="E61" i="10"/>
  <c r="E57" i="10"/>
  <c r="AA56" i="9"/>
  <c r="DX56" i="2" s="1"/>
  <c r="AZ57" i="9"/>
  <c r="EW57" i="2" s="1"/>
  <c r="BB33" i="9"/>
  <c r="EY33" i="2" s="1"/>
  <c r="AK57" i="9"/>
  <c r="EH57" i="2" s="1"/>
  <c r="AN34" i="9"/>
  <c r="EK42" i="2" s="1"/>
  <c r="EG25" i="2"/>
  <c r="AI34" i="9"/>
  <c r="EF42" i="2" s="1"/>
  <c r="AY57" i="9"/>
  <c r="EV57" i="2" s="1"/>
  <c r="AX34" i="9"/>
  <c r="EU42" i="2" s="1"/>
  <c r="AP34" i="9"/>
  <c r="EM42" i="2" s="1"/>
  <c r="AB56" i="9"/>
  <c r="DY56" i="2" s="1"/>
  <c r="AW56" i="9"/>
  <c r="ET56" i="2" s="1"/>
  <c r="AT57" i="9"/>
  <c r="EQ57" i="2" s="1"/>
  <c r="Y57" i="9"/>
  <c r="DV57" i="2" s="1"/>
  <c r="AK34" i="9"/>
  <c r="EH42" i="2" s="1"/>
  <c r="AE34" i="9"/>
  <c r="EB42" i="2" s="1"/>
  <c r="AP25" i="9"/>
  <c r="EM25" i="2" s="1"/>
  <c r="AS57" i="9"/>
  <c r="EP57" i="2" s="1"/>
  <c r="AG56" i="9"/>
  <c r="ED56" i="2" s="1"/>
  <c r="AT34" i="9"/>
  <c r="EQ42" i="2" s="1"/>
  <c r="AO57" i="9"/>
  <c r="EL57" i="2" s="1"/>
  <c r="AH56" i="9"/>
  <c r="EE56" i="2" s="1"/>
  <c r="AV56" i="9"/>
  <c r="ES56" i="2" s="1"/>
  <c r="AX57" i="9"/>
  <c r="EU57" i="2" s="1"/>
  <c r="AY34" i="9"/>
  <c r="EV42" i="2" s="1"/>
  <c r="AF25" i="9"/>
  <c r="EC25" i="2" s="1"/>
  <c r="BB56" i="9"/>
  <c r="EY56" i="2" s="1"/>
  <c r="AZ34" i="9"/>
  <c r="EW42" i="2" s="1"/>
  <c r="AZ25" i="9"/>
  <c r="EW25" i="2" s="1"/>
  <c r="AR33" i="9"/>
  <c r="EO33" i="2" s="1"/>
  <c r="AF56" i="9"/>
  <c r="EC56" i="2" s="1"/>
  <c r="AU56" i="9"/>
  <c r="ER56" i="2" s="1"/>
  <c r="Z34" i="9"/>
  <c r="DW42" i="2" s="1"/>
  <c r="AO34" i="9"/>
  <c r="EL42" i="2" s="1"/>
  <c r="AF34" i="9"/>
  <c r="EC42" i="2" s="1"/>
  <c r="AA34" i="9"/>
  <c r="DX42" i="2" s="1"/>
  <c r="AP56" i="9"/>
  <c r="EM56" i="2" s="1"/>
  <c r="BA56" i="9"/>
  <c r="EX56" i="2" s="1"/>
  <c r="BA34" i="9"/>
  <c r="EX42" i="2" s="1"/>
  <c r="Y34" i="9"/>
  <c r="AQ34" i="9"/>
  <c r="EN42" i="2" s="1"/>
  <c r="AP57" i="9"/>
  <c r="EM57" i="2" s="1"/>
  <c r="AM56" i="9"/>
  <c r="EJ56" i="2" s="1"/>
  <c r="AK25" i="9"/>
  <c r="EH25" i="2" s="1"/>
  <c r="AL56" i="9"/>
  <c r="EI56" i="2" s="1"/>
  <c r="AW33" i="9"/>
  <c r="ET33" i="2" s="1"/>
  <c r="AC33" i="9"/>
  <c r="DZ33" i="2" s="1"/>
  <c r="AM33" i="9"/>
  <c r="EJ33" i="2" s="1"/>
  <c r="AJ57" i="9"/>
  <c r="EG57" i="2" s="1"/>
  <c r="AI57" i="9"/>
  <c r="EF57" i="2" s="1"/>
  <c r="AS34" i="9"/>
  <c r="EP42" i="2" s="1"/>
  <c r="AZ56" i="9"/>
  <c r="EW56" i="2" s="1"/>
  <c r="AA25" i="9"/>
  <c r="DX25" i="2" s="1"/>
  <c r="AR56" i="9"/>
  <c r="EO56" i="2" s="1"/>
  <c r="AD34" i="9"/>
  <c r="AH33" i="9"/>
  <c r="EE33" i="2" s="1"/>
  <c r="AB34" i="9"/>
  <c r="DY42" i="2" s="1"/>
  <c r="AU34" i="9"/>
  <c r="ER42" i="2" s="1"/>
  <c r="AN57" i="9"/>
  <c r="EK57" i="2" s="1"/>
  <c r="AK56" i="9"/>
  <c r="EH56" i="2" s="1"/>
  <c r="AQ56" i="9"/>
  <c r="EN56" i="2" s="1"/>
  <c r="AV34" i="9"/>
  <c r="ES42" i="2" s="1"/>
  <c r="AL34" i="9"/>
  <c r="EI42" i="2" s="1"/>
  <c r="AV14" i="9"/>
  <c r="ES14" i="2" s="1"/>
  <c r="D37" i="14"/>
  <c r="F37" i="14"/>
  <c r="F36" i="14"/>
  <c r="AG57" i="9" s="1"/>
  <c r="ED57" i="2" s="1"/>
  <c r="D36" i="12"/>
  <c r="F36" i="12" s="1"/>
  <c r="F35" i="12"/>
  <c r="BA47" i="9"/>
  <c r="EX47" i="2" s="1"/>
  <c r="AQ47" i="9"/>
  <c r="EN47" i="2" s="1"/>
  <c r="D51" i="12"/>
  <c r="F51" i="12" s="1"/>
  <c r="F50" i="12"/>
  <c r="AL14" i="9"/>
  <c r="EI14" i="2" s="1"/>
  <c r="AB14" i="9"/>
  <c r="DY14" i="2" s="1"/>
  <c r="AV47" i="9"/>
  <c r="ES47" i="2" s="1"/>
  <c r="AY56" i="9"/>
  <c r="EV56" i="2" s="1"/>
  <c r="AU57" i="9"/>
  <c r="ER57" i="2" s="1"/>
  <c r="DI9" i="2"/>
  <c r="M44" i="9"/>
  <c r="M33" i="9"/>
  <c r="M60" i="9"/>
  <c r="M31" i="9"/>
  <c r="DK60" i="2"/>
  <c r="C14" i="9"/>
  <c r="C15" i="9" s="1"/>
  <c r="DJ9" i="2"/>
  <c r="DJ20" i="2"/>
  <c r="M17" i="9"/>
  <c r="CE28" i="9"/>
  <c r="AB57" i="9"/>
  <c r="DY57" i="2" s="1"/>
  <c r="G59" i="10"/>
  <c r="FB47" i="2"/>
  <c r="FS47" i="2"/>
  <c r="CH53" i="9"/>
  <c r="GE51" i="2"/>
  <c r="CG53" i="9"/>
  <c r="GD51" i="2" s="1"/>
  <c r="FO51" i="2"/>
  <c r="FC55" i="2"/>
  <c r="FD54" i="2"/>
  <c r="FG47" i="2"/>
  <c r="CG49" i="9"/>
  <c r="GD55" i="2" s="1"/>
  <c r="FB51" i="2"/>
  <c r="FZ56" i="2"/>
  <c r="FF57" i="2"/>
  <c r="FU57" i="2"/>
  <c r="FE18" i="2"/>
  <c r="FK18" i="2"/>
  <c r="FT44" i="2"/>
  <c r="FT29" i="2"/>
  <c r="FV35" i="2"/>
  <c r="FW35" i="2"/>
  <c r="FS35" i="2"/>
  <c r="FU34" i="2"/>
  <c r="I76" i="10" s="1"/>
  <c r="FW27" i="2"/>
  <c r="FX27" i="2"/>
  <c r="FF24" i="2"/>
  <c r="FD24" i="2"/>
  <c r="FF13" i="2"/>
  <c r="FN23" i="2"/>
  <c r="FZ23" i="2"/>
  <c r="FD17" i="2"/>
  <c r="FS10" i="2"/>
  <c r="FH23" i="2"/>
  <c r="FZ22" i="2"/>
  <c r="FP11" i="2"/>
  <c r="FU11" i="2"/>
  <c r="CE16" i="9"/>
  <c r="GB16" i="2"/>
  <c r="FG23" i="2"/>
  <c r="FC24" i="2"/>
  <c r="FZ17" i="2"/>
  <c r="FZ21" i="2"/>
  <c r="FZ31" i="2"/>
  <c r="FM6" i="2"/>
  <c r="FJ13" i="2"/>
  <c r="FD23" i="2"/>
  <c r="FC21" i="2"/>
  <c r="FG12" i="2"/>
  <c r="FW43" i="2"/>
  <c r="FE45" i="2"/>
  <c r="FS20" i="2"/>
  <c r="FS14" i="2"/>
  <c r="FU9" i="2"/>
  <c r="FZ9" i="2"/>
  <c r="FJ39" i="2"/>
  <c r="FE24" i="2"/>
  <c r="FS32" i="2"/>
  <c r="FC33" i="2"/>
  <c r="FM21" i="2"/>
  <c r="FR39" i="2"/>
  <c r="FZ33" i="2"/>
  <c r="FE19" i="2"/>
  <c r="FI19" i="2"/>
  <c r="FY13" i="2"/>
  <c r="FP10" i="2"/>
  <c r="FM12" i="2"/>
  <c r="FH11" i="2"/>
  <c r="FN44" i="2"/>
  <c r="FK34" i="2"/>
  <c r="FF25" i="2"/>
  <c r="FW25" i="2"/>
  <c r="FU24" i="2"/>
  <c r="FY24" i="2"/>
  <c r="FE25" i="2"/>
  <c r="FL22" i="2"/>
  <c r="FL20" i="2"/>
  <c r="FD25" i="2"/>
  <c r="FR55" i="2"/>
  <c r="FY37" i="2"/>
  <c r="FD34" i="2"/>
  <c r="F71" i="10" s="1"/>
  <c r="FZ58" i="2"/>
  <c r="FF58" i="2"/>
  <c r="FV45" i="2"/>
  <c r="FT22" i="2"/>
  <c r="FL15" i="2"/>
  <c r="FH9" i="2"/>
  <c r="FO56" i="2"/>
  <c r="FK29" i="2"/>
  <c r="FG15" i="2"/>
  <c r="FM20" i="2"/>
  <c r="FQ13" i="2"/>
  <c r="FR15" i="2"/>
  <c r="FT9" i="2"/>
  <c r="FL8" i="2"/>
  <c r="FP15" i="2"/>
  <c r="FJ58" i="2"/>
  <c r="FB25" i="2"/>
  <c r="CF45" i="9"/>
  <c r="GC45" i="2"/>
  <c r="CH37" i="9"/>
  <c r="GE37" i="2"/>
  <c r="FO35" i="2"/>
  <c r="FC42" i="2"/>
  <c r="FG27" i="2"/>
  <c r="FQ19" i="2"/>
  <c r="FJ21" i="2"/>
  <c r="FE30" i="2"/>
  <c r="FE54" i="2"/>
  <c r="FK8" i="2"/>
  <c r="FU36" i="2"/>
  <c r="FP56" i="2"/>
  <c r="FH29" i="2"/>
  <c r="FJ43" i="2"/>
  <c r="FO24" i="2"/>
  <c r="FR43" i="2"/>
  <c r="FI11" i="2"/>
  <c r="FY39" i="2"/>
  <c r="FS56" i="2"/>
  <c r="FS25" i="2"/>
  <c r="FB54" i="2"/>
  <c r="FC11" i="2"/>
  <c r="FS18" i="2"/>
  <c r="FX36" i="2"/>
  <c r="FJ36" i="2"/>
  <c r="FP39" i="2"/>
  <c r="FN56" i="2"/>
  <c r="FQ30" i="2"/>
  <c r="FV29" i="2"/>
  <c r="FJ54" i="2"/>
  <c r="FJ40" i="2"/>
  <c r="FV40" i="2"/>
  <c r="FI29" i="2"/>
  <c r="FB40" i="2"/>
  <c r="FU20" i="2"/>
  <c r="FF41" i="2"/>
  <c r="FS58" i="2"/>
  <c r="FQ28" i="2"/>
  <c r="FY40" i="2"/>
  <c r="FE37" i="2"/>
  <c r="FU29" i="2"/>
  <c r="FP18" i="2"/>
  <c r="FK40" i="2"/>
  <c r="FY33" i="2"/>
  <c r="FD39" i="2"/>
  <c r="FU39" i="2"/>
  <c r="FY44" i="2"/>
  <c r="FM27" i="2"/>
  <c r="FG10" i="2"/>
  <c r="FR34" i="2"/>
  <c r="FP14" i="2"/>
  <c r="FD58" i="2"/>
  <c r="FZ30" i="2"/>
  <c r="FZ19" i="2"/>
  <c r="FU10" i="2"/>
  <c r="FE44" i="2"/>
  <c r="FJ57" i="2"/>
  <c r="FC16" i="2"/>
  <c r="FJ41" i="2"/>
  <c r="FK58" i="2"/>
  <c r="FX10" i="2"/>
  <c r="FF39" i="2"/>
  <c r="FF20" i="2"/>
  <c r="F76" i="10" s="1"/>
  <c r="FD37" i="2"/>
  <c r="FE28" i="2"/>
  <c r="FB58" i="2"/>
  <c r="FY28" i="2"/>
  <c r="FX28" i="2"/>
  <c r="FW57" i="2"/>
  <c r="FE36" i="2"/>
  <c r="FT45" i="2"/>
  <c r="FJ35" i="2"/>
  <c r="FB29" i="2"/>
  <c r="FB20" i="2"/>
  <c r="FE8" i="2"/>
  <c r="FE38" i="2"/>
  <c r="FF37" i="2"/>
  <c r="FR54" i="2"/>
  <c r="FW54" i="2"/>
  <c r="FX32" i="2"/>
  <c r="FY31" i="2"/>
  <c r="FD32" i="2"/>
  <c r="FM28" i="2"/>
  <c r="FM31" i="2"/>
  <c r="FL38" i="2"/>
  <c r="FE22" i="2"/>
  <c r="FX41" i="2"/>
  <c r="FY16" i="2"/>
  <c r="FO16" i="2"/>
  <c r="FU16" i="2"/>
  <c r="V7" i="9"/>
  <c r="DD7" i="2" s="1"/>
  <c r="GZ7" i="2" s="1"/>
  <c r="W8" i="9"/>
  <c r="DE8" i="2" s="1"/>
  <c r="HA8" i="2" s="1"/>
  <c r="V19" i="9"/>
  <c r="DD19" i="2" s="1"/>
  <c r="GZ19" i="2" s="1"/>
  <c r="T27" i="9"/>
  <c r="DU27" i="2" s="1"/>
  <c r="T47" i="9"/>
  <c r="DU47" i="2" s="1"/>
  <c r="DH47" i="2" s="1"/>
  <c r="T60" i="9"/>
  <c r="DU60" i="2" s="1"/>
  <c r="T62" i="9"/>
  <c r="DU61" i="2" s="1"/>
  <c r="W64" i="9"/>
  <c r="DE63" i="2" s="1"/>
  <c r="HA63" i="2" s="1"/>
  <c r="FO55" i="2"/>
  <c r="FV57" i="2"/>
  <c r="CF47" i="9"/>
  <c r="GC47" i="2"/>
  <c r="FZ51" i="2"/>
  <c r="CG46" i="9"/>
  <c r="GD46" i="2"/>
  <c r="FU37" i="2"/>
  <c r="FU40" i="2"/>
  <c r="FH24" i="2"/>
  <c r="FR28" i="2"/>
  <c r="CG37" i="9"/>
  <c r="GD37" i="2"/>
  <c r="CG38" i="9"/>
  <c r="GD38" i="2"/>
  <c r="CF46" i="9"/>
  <c r="GC46" i="2"/>
  <c r="CD53" i="9"/>
  <c r="GA51" i="2" s="1"/>
  <c r="CD12" i="9"/>
  <c r="GA12" i="2"/>
  <c r="CF11" i="9"/>
  <c r="GC11" i="2"/>
  <c r="CF10" i="9"/>
  <c r="GC10" i="2"/>
  <c r="CD38" i="9"/>
  <c r="GA38" i="2"/>
  <c r="CH17" i="9"/>
  <c r="GE17" i="2"/>
  <c r="CG33" i="9"/>
  <c r="CG9" i="9"/>
  <c r="CF57" i="9"/>
  <c r="GC57" i="2" s="1"/>
  <c r="CD20" i="9"/>
  <c r="CE40" i="9"/>
  <c r="GB34" i="2"/>
  <c r="CH15" i="9"/>
  <c r="CH30" i="9"/>
  <c r="AL57" i="9"/>
  <c r="EI57" i="2" s="1"/>
  <c r="AL47" i="9"/>
  <c r="EI47" i="2" s="1"/>
  <c r="AS48" i="9"/>
  <c r="EP54" i="2" s="1"/>
  <c r="AG47" i="9"/>
  <c r="ED47" i="2" s="1"/>
  <c r="AJ48" i="9"/>
  <c r="EG54" i="2" s="1"/>
  <c r="AS49" i="9"/>
  <c r="EP55" i="2" s="1"/>
  <c r="AP58" i="9"/>
  <c r="EM58" i="2" s="1"/>
  <c r="AD58" i="9"/>
  <c r="EA58" i="2" s="1"/>
  <c r="DG58" i="2"/>
  <c r="AB59" i="9"/>
  <c r="DY59" i="2" s="1"/>
  <c r="AA48" i="9"/>
  <c r="DX54" i="2" s="1"/>
  <c r="FE51" i="2"/>
  <c r="CH48" i="9"/>
  <c r="GE54" i="2" s="1"/>
  <c r="DH51" i="2"/>
  <c r="CF53" i="9"/>
  <c r="GC51" i="2" s="1"/>
  <c r="FJ51" i="2"/>
  <c r="FH55" i="2"/>
  <c r="FM55" i="2"/>
  <c r="DJ55" i="2"/>
  <c r="DL55" i="2"/>
  <c r="DI61" i="2"/>
  <c r="FO57" i="2"/>
  <c r="FB18" i="2"/>
  <c r="FK35" i="2"/>
  <c r="DL35" i="2"/>
  <c r="FP8" i="2"/>
  <c r="DG67" i="2"/>
  <c r="DS67" i="2" s="1"/>
  <c r="FE34" i="2"/>
  <c r="FS27" i="2"/>
  <c r="FC27" i="2"/>
  <c r="DH27" i="2"/>
  <c r="DF26" i="2"/>
  <c r="HB26" i="2" s="1"/>
  <c r="DH42" i="2"/>
  <c r="FU42" i="2"/>
  <c r="DN69" i="2"/>
  <c r="DH66" i="2"/>
  <c r="FU23" i="2"/>
  <c r="FF43" i="2"/>
  <c r="DN33" i="2"/>
  <c r="CH21" i="9"/>
  <c r="GE21" i="2"/>
  <c r="FU58" i="2"/>
  <c r="GA20" i="2"/>
  <c r="FZ14" i="2"/>
  <c r="DL23" i="2"/>
  <c r="FG33" i="2"/>
  <c r="FZ6" i="2"/>
  <c r="FS23" i="2"/>
  <c r="DG33" i="2"/>
  <c r="FN19" i="2"/>
  <c r="DN19" i="2"/>
  <c r="DM10" i="2"/>
  <c r="DL12" i="2"/>
  <c r="FX17" i="2"/>
  <c r="DI66" i="2"/>
  <c r="DN31" i="2"/>
  <c r="DH31" i="2"/>
  <c r="FO31" i="2"/>
  <c r="DH60" i="2"/>
  <c r="FO11" i="2"/>
  <c r="DF41" i="2"/>
  <c r="HB41" i="2" s="1"/>
  <c r="DH14" i="2"/>
  <c r="CE14" i="9"/>
  <c r="GB14" i="2"/>
  <c r="FP36" i="2"/>
  <c r="DM64" i="2"/>
  <c r="FR22" i="2"/>
  <c r="DJ8" i="2"/>
  <c r="FP27" i="2"/>
  <c r="DH59" i="2"/>
  <c r="DG32" i="2"/>
  <c r="FR19" i="2"/>
  <c r="DL9" i="2"/>
  <c r="FX9" i="2"/>
  <c r="DI34" i="2"/>
  <c r="FD27" i="2"/>
  <c r="FW37" i="2"/>
  <c r="DG19" i="2"/>
  <c r="DR19" i="2" s="1"/>
  <c r="DN22" i="2"/>
  <c r="FQ22" i="2"/>
  <c r="GE15" i="2"/>
  <c r="FO34" i="2"/>
  <c r="M25" i="9"/>
  <c r="DH62" i="2"/>
  <c r="FC22" i="2"/>
  <c r="FV19" i="2"/>
  <c r="FQ25" i="2"/>
  <c r="DG55" i="2"/>
  <c r="DT55" i="2" s="1"/>
  <c r="DG42" i="2"/>
  <c r="FP42" i="2"/>
  <c r="FV8" i="2"/>
  <c r="DC33" i="2"/>
  <c r="GY33" i="2" s="1"/>
  <c r="DI11" i="2"/>
  <c r="FK15" i="2"/>
  <c r="FT11" i="2"/>
  <c r="DN21" i="2"/>
  <c r="FY14" i="2"/>
  <c r="FV56" i="2"/>
  <c r="DN63" i="2"/>
  <c r="DK29" i="2"/>
  <c r="DL29" i="2"/>
  <c r="GE30" i="2"/>
  <c r="DG63" i="2"/>
  <c r="FF18" i="2"/>
  <c r="DG60" i="2"/>
  <c r="FO29" i="2"/>
  <c r="DJ40" i="2"/>
  <c r="FL33" i="2"/>
  <c r="FE40" i="2"/>
  <c r="DI14" i="2"/>
  <c r="FT56" i="2"/>
  <c r="FD29" i="2"/>
  <c r="DN7" i="2"/>
  <c r="FS16" i="2"/>
  <c r="DH22" i="2"/>
  <c r="DN56" i="2"/>
  <c r="FC7" i="2"/>
  <c r="CD29" i="9"/>
  <c r="GA29" i="2"/>
  <c r="DK7" i="2"/>
  <c r="FF15" i="2"/>
  <c r="FI56" i="2"/>
  <c r="FZ29" i="2"/>
  <c r="DM25" i="2"/>
  <c r="FL11" i="2"/>
  <c r="DI42" i="2"/>
  <c r="DD33" i="2"/>
  <c r="GZ33" i="2" s="1"/>
  <c r="DI15" i="2"/>
  <c r="FB17" i="2"/>
  <c r="DI24" i="2"/>
  <c r="FL14" i="2"/>
  <c r="FV11" i="2"/>
  <c r="EB25" i="2"/>
  <c r="GG25" i="2" s="1"/>
  <c r="EH6" i="2"/>
  <c r="DH10" i="2"/>
  <c r="DL28" i="2"/>
  <c r="DM41" i="2"/>
  <c r="DK16" i="2"/>
  <c r="DN29" i="2"/>
  <c r="DI32" i="2"/>
  <c r="DK37" i="2"/>
  <c r="DM58" i="2"/>
  <c r="DH45" i="2"/>
  <c r="EV6" i="2"/>
  <c r="EU46" i="2"/>
  <c r="DN68" i="2"/>
  <c r="DL61" i="2"/>
  <c r="DG38" i="2"/>
  <c r="DG37" i="2"/>
  <c r="DP37" i="2" s="1"/>
  <c r="DI37" i="2"/>
  <c r="DI38" i="2"/>
  <c r="DK32" i="2"/>
  <c r="DN39" i="2"/>
  <c r="DG6" i="2"/>
  <c r="U9" i="9"/>
  <c r="DC9" i="2" s="1"/>
  <c r="GY9" i="2" s="1"/>
  <c r="X9" i="9"/>
  <c r="DF9" i="2" s="1"/>
  <c r="HB9" i="2" s="1"/>
  <c r="U10" i="9"/>
  <c r="DC10" i="2" s="1"/>
  <c r="GY10" i="2" s="1"/>
  <c r="X11" i="9"/>
  <c r="DF11" i="2" s="1"/>
  <c r="HB11" i="2" s="1"/>
  <c r="V14" i="9"/>
  <c r="DD14" i="2" s="1"/>
  <c r="GZ14" i="2" s="1"/>
  <c r="V15" i="9"/>
  <c r="DD15" i="2" s="1"/>
  <c r="GZ15" i="2" s="1"/>
  <c r="V18" i="9"/>
  <c r="DD18" i="2" s="1"/>
  <c r="GZ18" i="2" s="1"/>
  <c r="V21" i="9"/>
  <c r="DD21" i="2" s="1"/>
  <c r="GZ21" i="2" s="1"/>
  <c r="V22" i="9"/>
  <c r="DD22" i="2" s="1"/>
  <c r="GZ22" i="2" s="1"/>
  <c r="V23" i="9"/>
  <c r="DD23" i="2" s="1"/>
  <c r="GZ23" i="2" s="1"/>
  <c r="T25" i="9"/>
  <c r="DU25" i="2" s="1"/>
  <c r="U28" i="9"/>
  <c r="DC28" i="2" s="1"/>
  <c r="GY28" i="2" s="1"/>
  <c r="W32" i="9"/>
  <c r="DE32" i="2" s="1"/>
  <c r="HA32" i="2" s="1"/>
  <c r="W33" i="9"/>
  <c r="DE33" i="2" s="1"/>
  <c r="HA33" i="2" s="1"/>
  <c r="X40" i="9"/>
  <c r="DF34" i="2" s="1"/>
  <c r="HB34" i="2" s="1"/>
  <c r="X44" i="9"/>
  <c r="DF39" i="2" s="1"/>
  <c r="HB39" i="2" s="1"/>
  <c r="V46" i="9"/>
  <c r="DD46" i="2" s="1"/>
  <c r="GZ46" i="2" s="1"/>
  <c r="T59" i="9"/>
  <c r="DU59" i="2" s="1"/>
  <c r="T63" i="9"/>
  <c r="DU62" i="2" s="1"/>
  <c r="T65" i="9"/>
  <c r="DU65" i="2" s="1"/>
  <c r="DH65" i="2" s="1"/>
  <c r="T66" i="9"/>
  <c r="DU66" i="2" s="1"/>
  <c r="W66" i="9"/>
  <c r="DE66" i="2" s="1"/>
  <c r="HA66" i="2" s="1"/>
  <c r="T67" i="9"/>
  <c r="DU67" i="2" s="1"/>
  <c r="W35" i="9"/>
  <c r="DE41" i="2" s="1"/>
  <c r="HA41" i="2" s="1"/>
  <c r="DJ52" i="2"/>
  <c r="DI52" i="2"/>
  <c r="DK53" i="2"/>
  <c r="DH53" i="2"/>
  <c r="DL49" i="2"/>
  <c r="DI49" i="2"/>
  <c r="DJ50" i="2"/>
  <c r="U53" i="9"/>
  <c r="DC51" i="2" s="1"/>
  <c r="GY51" i="2" s="1"/>
  <c r="G60" i="10"/>
  <c r="E63" i="10"/>
  <c r="E55" i="10"/>
  <c r="G55" i="10"/>
  <c r="J71" i="10"/>
  <c r="E60" i="10"/>
  <c r="M40" i="9"/>
  <c r="M63" i="9"/>
  <c r="C65" i="9"/>
  <c r="B65" i="9" s="1"/>
  <c r="M30" i="9"/>
  <c r="DO20" i="2"/>
  <c r="M18" i="9"/>
  <c r="C39" i="9"/>
  <c r="B39" i="9" s="1"/>
  <c r="M36" i="9"/>
  <c r="M6" i="9"/>
  <c r="DM59" i="2"/>
  <c r="B6" i="9"/>
  <c r="DI36" i="2"/>
  <c r="M8" i="9"/>
  <c r="DJ18" i="2"/>
  <c r="E64" i="9"/>
  <c r="C34" i="9"/>
  <c r="B34" i="9" s="1"/>
  <c r="DJ25" i="2"/>
  <c r="C40" i="9"/>
  <c r="C41" i="9" s="1"/>
  <c r="B41" i="9" s="1"/>
  <c r="C27" i="9"/>
  <c r="B27" i="9" s="1"/>
  <c r="EB6" i="2"/>
  <c r="C61" i="9"/>
  <c r="C62" i="9" s="1"/>
  <c r="C63" i="9" s="1"/>
  <c r="DI62" i="2"/>
  <c r="C56" i="9"/>
  <c r="B56" i="9" s="1"/>
  <c r="DI20" i="2"/>
  <c r="C42" i="9"/>
  <c r="B42" i="9" s="1"/>
  <c r="DJ23" i="2"/>
  <c r="C57" i="9"/>
  <c r="C58" i="9" s="1"/>
  <c r="B58" i="9" s="1"/>
  <c r="M65" i="9"/>
  <c r="M13" i="9"/>
  <c r="M29" i="9"/>
  <c r="DQ66" i="2"/>
  <c r="M37" i="9"/>
  <c r="DK66" i="2"/>
  <c r="DJ29" i="2"/>
  <c r="DK34" i="2"/>
  <c r="C18" i="9"/>
  <c r="C19" i="9" s="1"/>
  <c r="B19" i="9" s="1"/>
  <c r="DN48" i="2"/>
  <c r="DJ65" i="2"/>
  <c r="C33" i="9"/>
  <c r="B33" i="9" s="1"/>
  <c r="M14" i="9"/>
  <c r="DI30" i="2"/>
  <c r="M62" i="9"/>
  <c r="M67" i="9"/>
  <c r="DI67" i="2"/>
  <c r="DP66" i="2"/>
  <c r="CG56" i="9"/>
  <c r="GD56" i="2" s="1"/>
  <c r="CG14" i="9"/>
  <c r="GD14" i="2"/>
  <c r="CF24" i="9"/>
  <c r="GC24" i="2"/>
  <c r="CF17" i="9"/>
  <c r="GC17" i="2"/>
  <c r="CE10" i="9"/>
  <c r="GB10" i="2"/>
  <c r="FQ29" i="2"/>
  <c r="FK21" i="2"/>
  <c r="CH58" i="9"/>
  <c r="GE58" i="2" s="1"/>
  <c r="CH18" i="9"/>
  <c r="GE18" i="2"/>
  <c r="CD28" i="9"/>
  <c r="GA28" i="2"/>
  <c r="CE9" i="9"/>
  <c r="GB9" i="2"/>
  <c r="CF56" i="9"/>
  <c r="GC56" i="2" s="1"/>
  <c r="CD36" i="9"/>
  <c r="GA36" i="2"/>
  <c r="FX51" i="2"/>
  <c r="FF30" i="2"/>
  <c r="FP54" i="2"/>
  <c r="CD46" i="9"/>
  <c r="GA46" i="2"/>
  <c r="CF9" i="9"/>
  <c r="GC9" i="2"/>
  <c r="CE31" i="9"/>
  <c r="GB31" i="2"/>
  <c r="CG36" i="9"/>
  <c r="GD36" i="2"/>
  <c r="Z58" i="9"/>
  <c r="DW58" i="2" s="1"/>
  <c r="AJ59" i="9"/>
  <c r="EG59" i="2" s="1"/>
  <c r="AH57" i="9"/>
  <c r="EE57" i="2" s="1"/>
  <c r="AR57" i="9"/>
  <c r="EO57" i="2" s="1"/>
  <c r="AW48" i="9"/>
  <c r="ET54" i="2" s="1"/>
  <c r="AE59" i="9"/>
  <c r="EB59" i="2" s="1"/>
  <c r="BA60" i="9"/>
  <c r="EX60" i="2" s="1"/>
  <c r="CH57" i="9"/>
  <c r="GE57" i="2" s="1"/>
  <c r="CH38" i="9"/>
  <c r="GE38" i="2"/>
  <c r="FM18" i="2"/>
  <c r="FY18" i="2"/>
  <c r="FH18" i="2"/>
  <c r="FW44" i="2"/>
  <c r="FV17" i="2"/>
  <c r="FP32" i="2"/>
  <c r="CF58" i="9"/>
  <c r="GC58" i="2" s="1"/>
  <c r="FK27" i="2"/>
  <c r="FQ15" i="2"/>
  <c r="FB37" i="2"/>
  <c r="FK23" i="2"/>
  <c r="FG43" i="2"/>
  <c r="FE23" i="2"/>
  <c r="FP6" i="2"/>
  <c r="FN13" i="2"/>
  <c r="FK19" i="2"/>
  <c r="CE17" i="9"/>
  <c r="GB17" i="2"/>
  <c r="FP12" i="2"/>
  <c r="FH16" i="2"/>
  <c r="GD33" i="2"/>
  <c r="FU41" i="2"/>
  <c r="FX13" i="2"/>
  <c r="FH6" i="2"/>
  <c r="FK6" i="2"/>
  <c r="FQ20" i="2"/>
  <c r="FE14" i="2"/>
  <c r="FC12" i="2"/>
  <c r="FP13" i="2"/>
  <c r="FB8" i="2"/>
  <c r="FF6" i="2"/>
  <c r="FV21" i="2"/>
  <c r="FW14" i="2"/>
  <c r="FK42" i="2"/>
  <c r="FX15" i="2"/>
  <c r="FU35" i="2"/>
  <c r="CE58" i="9"/>
  <c r="GB58" i="2" s="1"/>
  <c r="FZ15" i="2"/>
  <c r="FZ8" i="2"/>
  <c r="FI13" i="2"/>
  <c r="FQ42" i="2"/>
  <c r="CD19" i="9"/>
  <c r="GA19" i="2"/>
  <c r="FJ42" i="2"/>
  <c r="FW42" i="2"/>
  <c r="FW7" i="2"/>
  <c r="W22" i="9"/>
  <c r="DE22" i="2" s="1"/>
  <c r="HA22" i="2" s="1"/>
  <c r="W23" i="9"/>
  <c r="DE23" i="2" s="1"/>
  <c r="HA23" i="2" s="1"/>
  <c r="W24" i="9"/>
  <c r="DE24" i="2" s="1"/>
  <c r="HA24" i="2" s="1"/>
  <c r="U43" i="9"/>
  <c r="DC43" i="2" s="1"/>
  <c r="GY43" i="2" s="1"/>
  <c r="V56" i="9"/>
  <c r="DD56" i="2" s="1"/>
  <c r="GZ56" i="2" s="1"/>
  <c r="X63" i="9"/>
  <c r="DF62" i="2" s="1"/>
  <c r="HB62" i="2" s="1"/>
  <c r="X65" i="9"/>
  <c r="DF65" i="2" s="1"/>
  <c r="HB65" i="2" s="1"/>
  <c r="X66" i="9"/>
  <c r="DF66" i="2" s="1"/>
  <c r="HB66" i="2" s="1"/>
  <c r="U35" i="9"/>
  <c r="DC41" i="2" s="1"/>
  <c r="GY41" i="2" s="1"/>
  <c r="M61" i="9"/>
  <c r="CH24" i="9"/>
  <c r="GE24" i="2"/>
  <c r="FZ24" i="2"/>
  <c r="CG17" i="9"/>
  <c r="GD17" i="2"/>
  <c r="CF23" i="9"/>
  <c r="GC23" i="2"/>
  <c r="CD23" i="9"/>
  <c r="GA23" i="2"/>
  <c r="CF43" i="9"/>
  <c r="GC43" i="2"/>
  <c r="CH27" i="9"/>
  <c r="GE27" i="2"/>
  <c r="CF37" i="9"/>
  <c r="GC37" i="2"/>
  <c r="FR10" i="2"/>
  <c r="CD21" i="9"/>
  <c r="GA21" i="2"/>
  <c r="CD42" i="9"/>
  <c r="CE41" i="9"/>
  <c r="GB35" i="2"/>
  <c r="CF41" i="9"/>
  <c r="GC35" i="2"/>
  <c r="CD8" i="9"/>
  <c r="GA8" i="2"/>
  <c r="CF27" i="9"/>
  <c r="GC27" i="2"/>
  <c r="CF18" i="9"/>
  <c r="GC18" i="2"/>
  <c r="CD40" i="9"/>
  <c r="GA34" i="2"/>
  <c r="CE38" i="9"/>
  <c r="GB38" i="2"/>
  <c r="CF48" i="9"/>
  <c r="GC54" i="2" s="1"/>
  <c r="CD47" i="9"/>
  <c r="GA47" i="2"/>
  <c r="DI47" i="2"/>
  <c r="CD49" i="9"/>
  <c r="GA55" i="2" s="1"/>
  <c r="DN67" i="2"/>
  <c r="CD37" i="9"/>
  <c r="GA37" i="2"/>
  <c r="CG20" i="9"/>
  <c r="GD20" i="2"/>
  <c r="CF16" i="9"/>
  <c r="GC16" i="2"/>
  <c r="CD16" i="9"/>
  <c r="GA16" i="2"/>
  <c r="FT8" i="2"/>
  <c r="CF40" i="9"/>
  <c r="GC34" i="2"/>
  <c r="CE27" i="9"/>
  <c r="GB27" i="2"/>
  <c r="FF27" i="2"/>
  <c r="CE7" i="9"/>
  <c r="GB7" i="2"/>
  <c r="FT37" i="2"/>
  <c r="DI10" i="2"/>
  <c r="FT21" i="2"/>
  <c r="FN10" i="2"/>
  <c r="FE17" i="2"/>
  <c r="FX43" i="2"/>
  <c r="FB23" i="2"/>
  <c r="FM23" i="2"/>
  <c r="FF12" i="2"/>
  <c r="FD6" i="2"/>
  <c r="FV6" i="2"/>
  <c r="FQ12" i="2"/>
  <c r="FW17" i="2"/>
  <c r="FN22" i="2"/>
  <c r="FI22" i="2"/>
  <c r="FE11" i="2"/>
  <c r="FT33" i="2"/>
  <c r="EP6" i="2"/>
  <c r="GA32" i="2"/>
  <c r="FB10" i="2"/>
  <c r="FH43" i="2"/>
  <c r="FZ41" i="2"/>
  <c r="FE43" i="2"/>
  <c r="FG21" i="2"/>
  <c r="FJ10" i="2"/>
  <c r="FD20" i="2"/>
  <c r="FF9" i="2"/>
  <c r="GD9" i="2"/>
  <c r="CH13" i="9"/>
  <c r="GE13" i="2"/>
  <c r="CD43" i="9"/>
  <c r="GA43" i="2"/>
  <c r="FD7" i="2"/>
  <c r="FE6" i="2"/>
  <c r="CH43" i="9"/>
  <c r="GE43" i="2"/>
  <c r="CD33" i="9"/>
  <c r="GA33" i="2"/>
  <c r="FB13" i="2"/>
  <c r="FF8" i="2"/>
  <c r="FL23" i="2"/>
  <c r="FN6" i="2"/>
  <c r="FN21" i="2"/>
  <c r="DH21" i="2"/>
  <c r="GB28" i="2"/>
  <c r="FM33" i="2"/>
  <c r="FN11" i="2"/>
  <c r="FY41" i="2"/>
  <c r="DH41" i="2"/>
  <c r="FF21" i="2"/>
  <c r="GB36" i="2"/>
  <c r="FF36" i="2"/>
  <c r="CE30" i="9"/>
  <c r="GB30" i="2"/>
  <c r="CH40" i="9"/>
  <c r="GE34" i="2"/>
  <c r="CH25" i="9"/>
  <c r="GE25" i="2"/>
  <c r="CF19" i="9"/>
  <c r="GC19" i="2"/>
  <c r="FM42" i="2"/>
  <c r="CE19" i="9"/>
  <c r="GB19" i="2"/>
  <c r="FJ37" i="2"/>
  <c r="FQ6" i="2"/>
  <c r="FE42" i="2"/>
  <c r="FN42" i="2"/>
  <c r="DL64" i="2"/>
  <c r="CG45" i="9"/>
  <c r="GD45" i="2"/>
  <c r="FG8" i="2"/>
  <c r="FD22" i="2"/>
  <c r="DH15" i="2"/>
  <c r="FH15" i="2"/>
  <c r="FK9" i="2"/>
  <c r="CD9" i="9"/>
  <c r="GA9" i="2"/>
  <c r="DG9" i="2"/>
  <c r="FL42" i="2"/>
  <c r="FC34" i="2"/>
  <c r="F70" i="10" s="1"/>
  <c r="DI25" i="2"/>
  <c r="FR20" i="2"/>
  <c r="CH22" i="9"/>
  <c r="GE22" i="2"/>
  <c r="FH8" i="2"/>
  <c r="G70" i="10"/>
  <c r="DH8" i="2"/>
  <c r="FR42" i="2"/>
  <c r="CG27" i="9"/>
  <c r="GD27" i="2"/>
  <c r="FU27" i="2"/>
  <c r="FC8" i="2"/>
  <c r="FG18" i="2"/>
  <c r="FS36" i="2"/>
  <c r="FN8" i="2"/>
  <c r="FI21" i="2"/>
  <c r="FD36" i="2"/>
  <c r="CE44" i="9"/>
  <c r="GB39" i="2"/>
  <c r="CD56" i="9"/>
  <c r="GA56" i="2" s="1"/>
  <c r="FL7" i="2"/>
  <c r="FB36" i="2"/>
  <c r="FL34" i="2"/>
  <c r="CG44" i="9"/>
  <c r="GD39" i="2"/>
  <c r="DN43" i="2"/>
  <c r="CG29" i="9"/>
  <c r="GD29" i="2"/>
  <c r="FR14" i="2"/>
  <c r="FL24" i="2"/>
  <c r="DK14" i="2"/>
  <c r="FO39" i="2"/>
  <c r="CD30" i="9"/>
  <c r="GA30" i="2"/>
  <c r="FR33" i="2"/>
  <c r="FW33" i="2"/>
  <c r="FG14" i="2"/>
  <c r="FL29" i="2"/>
  <c r="FT27" i="2"/>
  <c r="FO14" i="2"/>
  <c r="FS19" i="2"/>
  <c r="CH29" i="9"/>
  <c r="GE29" i="2"/>
  <c r="FN18" i="2"/>
  <c r="CF33" i="9"/>
  <c r="GC33" i="2"/>
  <c r="DH29" i="2"/>
  <c r="CF44" i="9"/>
  <c r="GC39" i="2"/>
  <c r="FZ18" i="2"/>
  <c r="CE18" i="9"/>
  <c r="GB18" i="2"/>
  <c r="CH28" i="9"/>
  <c r="GE28" i="2"/>
  <c r="CG23" i="9"/>
  <c r="GD23" i="2"/>
  <c r="FC41" i="2"/>
  <c r="FQ41" i="2"/>
  <c r="FP20" i="2"/>
  <c r="FW36" i="2"/>
  <c r="CE22" i="9"/>
  <c r="GB22" i="2"/>
  <c r="FH41" i="2"/>
  <c r="CG28" i="9"/>
  <c r="GD28" i="2"/>
  <c r="FD19" i="2"/>
  <c r="FE9" i="2"/>
  <c r="FD42" i="2"/>
  <c r="FW32" i="2"/>
  <c r="EP46" i="2"/>
  <c r="DM57" i="2"/>
  <c r="CF28" i="9"/>
  <c r="GC28" i="2"/>
  <c r="DJ45" i="2"/>
  <c r="DJ43" i="2"/>
  <c r="M32" i="9"/>
  <c r="DD41" i="2"/>
  <c r="GZ41" i="2" s="1"/>
  <c r="FG41" i="2"/>
  <c r="F36" i="3"/>
  <c r="I36" i="3"/>
  <c r="T8" i="9"/>
  <c r="DU8" i="2" s="1"/>
  <c r="U8" i="9"/>
  <c r="DC8" i="2" s="1"/>
  <c r="GY8" i="2" s="1"/>
  <c r="V8" i="9"/>
  <c r="DD8" i="2" s="1"/>
  <c r="GZ8" i="2" s="1"/>
  <c r="V9" i="9"/>
  <c r="DD9" i="2" s="1"/>
  <c r="GZ9" i="2" s="1"/>
  <c r="W9" i="9"/>
  <c r="DE9" i="2" s="1"/>
  <c r="HA9" i="2" s="1"/>
  <c r="T10" i="9"/>
  <c r="DU10" i="2" s="1"/>
  <c r="W10" i="9"/>
  <c r="DE10" i="2" s="1"/>
  <c r="HA10" i="2" s="1"/>
  <c r="V12" i="9"/>
  <c r="DD12" i="2" s="1"/>
  <c r="GZ12" i="2" s="1"/>
  <c r="T13" i="9"/>
  <c r="DU13" i="2" s="1"/>
  <c r="W13" i="9"/>
  <c r="DE13" i="2" s="1"/>
  <c r="HA13" i="2" s="1"/>
  <c r="X15" i="9"/>
  <c r="DF15" i="2" s="1"/>
  <c r="HB15" i="2" s="1"/>
  <c r="V16" i="9"/>
  <c r="DD16" i="2" s="1"/>
  <c r="GZ16" i="2" s="1"/>
  <c r="V17" i="9"/>
  <c r="DD17" i="2" s="1"/>
  <c r="GZ17" i="2" s="1"/>
  <c r="X17" i="9"/>
  <c r="DF17" i="2" s="1"/>
  <c r="HB17" i="2" s="1"/>
  <c r="X19" i="9"/>
  <c r="DF19" i="2" s="1"/>
  <c r="HB19" i="2" s="1"/>
  <c r="V20" i="9"/>
  <c r="DD20" i="2" s="1"/>
  <c r="GZ20" i="2" s="1"/>
  <c r="X20" i="9"/>
  <c r="DF20" i="2" s="1"/>
  <c r="HB20" i="2" s="1"/>
  <c r="U21" i="9"/>
  <c r="DC21" i="2" s="1"/>
  <c r="GY21" i="2" s="1"/>
  <c r="X21" i="9"/>
  <c r="DF21" i="2" s="1"/>
  <c r="HB21" i="2" s="1"/>
  <c r="X22" i="9"/>
  <c r="DF22" i="2" s="1"/>
  <c r="HB22" i="2" s="1"/>
  <c r="U23" i="9"/>
  <c r="DC23" i="2" s="1"/>
  <c r="GY23" i="2" s="1"/>
  <c r="X23" i="9"/>
  <c r="DF23" i="2" s="1"/>
  <c r="HB23" i="2" s="1"/>
  <c r="V24" i="9"/>
  <c r="DD24" i="2" s="1"/>
  <c r="GZ24" i="2" s="1"/>
  <c r="X24" i="9"/>
  <c r="DF24" i="2" s="1"/>
  <c r="HB24" i="2" s="1"/>
  <c r="T28" i="9"/>
  <c r="DU28" i="2" s="1"/>
  <c r="U29" i="9"/>
  <c r="DC29" i="2" s="1"/>
  <c r="GY29" i="2" s="1"/>
  <c r="T30" i="9"/>
  <c r="DU30" i="2" s="1"/>
  <c r="T31" i="9"/>
  <c r="DU31" i="2" s="1"/>
  <c r="V38" i="9"/>
  <c r="DD38" i="2" s="1"/>
  <c r="GZ38" i="2" s="1"/>
  <c r="X38" i="9"/>
  <c r="DF38" i="2" s="1"/>
  <c r="HB38" i="2" s="1"/>
  <c r="V41" i="9"/>
  <c r="DD35" i="2" s="1"/>
  <c r="GZ35" i="2" s="1"/>
  <c r="T42" i="9"/>
  <c r="DU44" i="2" s="1"/>
  <c r="DH44" i="2" s="1"/>
  <c r="V42" i="9"/>
  <c r="DD44" i="2" s="1"/>
  <c r="GZ44" i="2" s="1"/>
  <c r="V43" i="9"/>
  <c r="DD43" i="2" s="1"/>
  <c r="GZ43" i="2" s="1"/>
  <c r="V44" i="9"/>
  <c r="DD39" i="2" s="1"/>
  <c r="GZ39" i="2" s="1"/>
  <c r="W47" i="9"/>
  <c r="DE47" i="2" s="1"/>
  <c r="HA47" i="2" s="1"/>
  <c r="V49" i="9"/>
  <c r="DD55" i="2" s="1"/>
  <c r="GZ55" i="2" s="1"/>
  <c r="W49" i="9"/>
  <c r="DE55" i="2" s="1"/>
  <c r="HA55" i="2" s="1"/>
  <c r="W56" i="9"/>
  <c r="DE56" i="2" s="1"/>
  <c r="HA56" i="2" s="1"/>
  <c r="X56" i="9"/>
  <c r="DF56" i="2" s="1"/>
  <c r="HB56" i="2" s="1"/>
  <c r="T57" i="9"/>
  <c r="DU57" i="2" s="1"/>
  <c r="T61" i="9"/>
  <c r="DU64" i="2" s="1"/>
  <c r="U61" i="9"/>
  <c r="DC64" i="2" s="1"/>
  <c r="GY64" i="2" s="1"/>
  <c r="T64" i="9"/>
  <c r="DU63" i="2" s="1"/>
  <c r="U64" i="9"/>
  <c r="DC63" i="2" s="1"/>
  <c r="GY63" i="2" s="1"/>
  <c r="U65" i="9"/>
  <c r="DC65" i="2" s="1"/>
  <c r="GY65" i="2" s="1"/>
  <c r="T68" i="9"/>
  <c r="DU68" i="2" s="1"/>
  <c r="T69" i="9"/>
  <c r="DU69" i="2" s="1"/>
  <c r="U69" i="9"/>
  <c r="DC69" i="2" s="1"/>
  <c r="GY69" i="2" s="1"/>
  <c r="W34" i="9"/>
  <c r="DE42" i="2" s="1"/>
  <c r="HA42" i="2" s="1"/>
  <c r="W53" i="9"/>
  <c r="DE51" i="2" s="1"/>
  <c r="HA51" i="2" s="1"/>
  <c r="M68" i="9"/>
  <c r="M15" i="9"/>
  <c r="M41" i="9"/>
  <c r="M7" i="9"/>
  <c r="M39" i="9"/>
  <c r="M16" i="9"/>
  <c r="C22" i="9"/>
  <c r="B22" i="9" s="1"/>
  <c r="J36" i="3"/>
  <c r="DR66" i="2"/>
  <c r="DO66" i="2"/>
  <c r="DQ26" i="2"/>
  <c r="DS66" i="2"/>
  <c r="DT66" i="2"/>
  <c r="FM35" i="2"/>
  <c r="CE12" i="9"/>
  <c r="GB12" i="2"/>
  <c r="CE33" i="9"/>
  <c r="GB33" i="2"/>
  <c r="CF6" i="9"/>
  <c r="GC6" i="2"/>
  <c r="CE21" i="9"/>
  <c r="GB21" i="2"/>
  <c r="CG18" i="9"/>
  <c r="GD18" i="2"/>
  <c r="CG43" i="9"/>
  <c r="GD43" i="2"/>
  <c r="CD15" i="9"/>
  <c r="GA15" i="2"/>
  <c r="CF38" i="9"/>
  <c r="GC38" i="2"/>
  <c r="CH31" i="9"/>
  <c r="GE31" i="2"/>
  <c r="CD45" i="9"/>
  <c r="GA45" i="2"/>
  <c r="FU6" i="2"/>
  <c r="CH6" i="9"/>
  <c r="GE6" i="2"/>
  <c r="CH41" i="9"/>
  <c r="GE35" i="2"/>
  <c r="CH10" i="9"/>
  <c r="GE10" i="2"/>
  <c r="FZ10" i="2"/>
  <c r="CE13" i="9"/>
  <c r="GB13" i="2"/>
  <c r="FR13" i="2"/>
  <c r="FY10" i="2"/>
  <c r="CG10" i="9"/>
  <c r="GD10" i="2"/>
  <c r="CH12" i="9"/>
  <c r="GE12" i="2"/>
  <c r="FZ12" i="2"/>
  <c r="FY6" i="2"/>
  <c r="CG6" i="9"/>
  <c r="GD6" i="2"/>
  <c r="CE23" i="9"/>
  <c r="GB23" i="2"/>
  <c r="CE11" i="9"/>
  <c r="GB11" i="2"/>
  <c r="FW11" i="2"/>
  <c r="J70" i="10"/>
  <c r="CH23" i="9"/>
  <c r="GE23" i="2"/>
  <c r="CD35" i="9"/>
  <c r="FV41" i="2"/>
  <c r="CF12" i="9"/>
  <c r="GC12" i="2"/>
  <c r="FI12" i="2"/>
  <c r="CG31" i="9"/>
  <c r="GD31" i="2"/>
  <c r="FE31" i="2"/>
  <c r="CG13" i="9"/>
  <c r="GD13" i="2"/>
  <c r="FE13" i="2"/>
  <c r="CF8" i="9"/>
  <c r="GC8" i="2"/>
  <c r="CD18" i="9"/>
  <c r="GA18" i="2"/>
  <c r="CH36" i="9"/>
  <c r="GE36" i="2"/>
  <c r="FZ36" i="2"/>
  <c r="CD58" i="9"/>
  <c r="GA58" i="2" s="1"/>
  <c r="CH34" i="9"/>
  <c r="GE42" i="2"/>
  <c r="FZ42" i="2"/>
  <c r="CE34" i="9"/>
  <c r="GB42" i="2"/>
  <c r="CG12" i="9"/>
  <c r="GD12" i="2"/>
  <c r="CF22" i="9"/>
  <c r="GC22" i="2"/>
  <c r="FX22" i="2"/>
  <c r="CE25" i="9"/>
  <c r="GB25" i="2"/>
  <c r="FR25" i="2"/>
  <c r="FK14" i="2"/>
  <c r="CH14" i="9"/>
  <c r="GE14" i="2"/>
  <c r="CE48" i="9"/>
  <c r="GB54" i="2" s="1"/>
  <c r="CE56" i="9"/>
  <c r="GB56" i="2" s="1"/>
  <c r="CF39" i="9"/>
  <c r="GC40" i="2"/>
  <c r="CF14" i="9"/>
  <c r="GC14" i="2"/>
  <c r="CE29" i="9"/>
  <c r="GB29" i="2"/>
  <c r="FW29" i="2"/>
  <c r="CF31" i="9"/>
  <c r="GC31" i="2"/>
  <c r="FD31" i="2"/>
  <c r="CH19" i="9"/>
  <c r="GE19" i="2"/>
  <c r="CH46" i="9"/>
  <c r="GE46" i="2"/>
  <c r="FI35" i="2"/>
  <c r="FQ18" i="2"/>
  <c r="FV32" i="2"/>
  <c r="J69" i="10"/>
  <c r="FR7" i="2"/>
  <c r="CG35" i="9"/>
  <c r="GD41" i="2"/>
  <c r="CH35" i="9"/>
  <c r="GE41" i="2"/>
  <c r="CG22" i="9"/>
  <c r="GD22" i="2"/>
  <c r="CH16" i="9"/>
  <c r="GE16" i="2"/>
  <c r="CH33" i="9"/>
  <c r="GE33" i="2"/>
  <c r="CG32" i="9"/>
  <c r="GD32" i="2"/>
  <c r="FY32" i="2"/>
  <c r="CE42" i="9"/>
  <c r="GB44" i="2"/>
  <c r="CD17" i="9"/>
  <c r="GA17" i="2"/>
  <c r="CD41" i="9"/>
  <c r="GA35" i="2"/>
  <c r="K69" i="10" s="1"/>
  <c r="CG8" i="9"/>
  <c r="GD8" i="2"/>
  <c r="FY8" i="2"/>
  <c r="CG58" i="9"/>
  <c r="GD58" i="2" s="1"/>
  <c r="CD10" i="9"/>
  <c r="GA10" i="2"/>
  <c r="FQ10" i="2"/>
  <c r="CD31" i="9"/>
  <c r="GA31" i="2"/>
  <c r="CF20" i="9"/>
  <c r="GC20" i="2"/>
  <c r="CG40" i="9"/>
  <c r="GD34" i="2"/>
  <c r="CF34" i="9"/>
  <c r="GC42" i="2"/>
  <c r="CF15" i="9"/>
  <c r="GC15" i="2"/>
  <c r="CG34" i="9"/>
  <c r="GD42" i="2"/>
  <c r="CF13" i="9"/>
  <c r="GC13" i="2"/>
  <c r="CF29" i="9"/>
  <c r="CH56" i="9"/>
  <c r="GE56" i="2" s="1"/>
  <c r="CG30" i="9"/>
  <c r="GD30" i="2"/>
  <c r="CE43" i="9"/>
  <c r="GB43" i="2"/>
  <c r="CH11" i="9"/>
  <c r="GE11" i="2"/>
  <c r="CF25" i="9"/>
  <c r="GC25" i="2"/>
  <c r="CD25" i="9"/>
  <c r="GA25" i="2"/>
  <c r="CF36" i="9"/>
  <c r="GC36" i="2"/>
  <c r="CG39" i="9"/>
  <c r="GD40" i="2"/>
  <c r="CD11" i="9"/>
  <c r="GA11" i="2"/>
  <c r="CG16" i="9"/>
  <c r="GD16" i="2"/>
  <c r="CG19" i="9"/>
  <c r="GD19" i="2"/>
  <c r="CE37" i="9"/>
  <c r="GB37" i="2"/>
  <c r="FH37" i="2"/>
  <c r="CG25" i="9"/>
  <c r="GD25" i="2"/>
  <c r="CF35" i="9"/>
  <c r="GC41" i="2"/>
  <c r="CH42" i="9"/>
  <c r="GE44" i="2"/>
  <c r="CD44" i="9"/>
  <c r="GA39" i="2"/>
  <c r="CG15" i="9"/>
  <c r="GD15" i="2"/>
  <c r="CF30" i="9"/>
  <c r="GC30" i="2"/>
  <c r="CH32" i="9"/>
  <c r="GE32" i="2"/>
  <c r="CE35" i="9"/>
  <c r="GB41" i="2"/>
  <c r="FU33" i="2"/>
  <c r="FF17" i="2"/>
  <c r="FS17" i="2"/>
  <c r="FV37" i="2"/>
  <c r="FY42" i="2"/>
  <c r="FS13" i="2"/>
  <c r="CD6" i="9"/>
  <c r="GA6" i="2"/>
  <c r="CE6" i="9"/>
  <c r="GB6" i="2"/>
  <c r="CG48" i="9"/>
  <c r="GD54" i="2" s="1"/>
  <c r="CG11" i="9"/>
  <c r="GD11" i="2"/>
  <c r="CF21" i="9"/>
  <c r="GC21" i="2"/>
  <c r="CG24" i="9"/>
  <c r="GD24" i="2"/>
  <c r="CE20" i="9"/>
  <c r="GB20" i="2"/>
  <c r="CG42" i="9"/>
  <c r="GD44" i="2"/>
  <c r="CG41" i="9"/>
  <c r="GD35" i="2"/>
  <c r="CG7" i="9"/>
  <c r="GD7" i="2"/>
  <c r="CE57" i="9"/>
  <c r="GB57" i="2" s="1"/>
  <c r="CD24" i="9"/>
  <c r="CH20" i="9"/>
  <c r="GE20" i="2"/>
  <c r="CF32" i="9"/>
  <c r="AX15" i="9"/>
  <c r="EU15" i="2" s="1"/>
  <c r="AY15" i="9"/>
  <c r="EV15" i="2" s="1"/>
  <c r="AE15" i="9"/>
  <c r="EB15" i="2" s="1"/>
  <c r="AN15" i="9"/>
  <c r="EK15" i="2" s="1"/>
  <c r="AU15" i="9"/>
  <c r="ER15" i="2" s="1"/>
  <c r="AR14" i="9"/>
  <c r="EO14" i="2" s="1"/>
  <c r="Z15" i="9"/>
  <c r="DW15" i="2" s="1"/>
  <c r="AI15" i="9"/>
  <c r="EF15" i="2" s="1"/>
  <c r="BB14" i="9"/>
  <c r="EY14" i="2" s="1"/>
  <c r="AF15" i="9"/>
  <c r="EC15" i="2" s="1"/>
  <c r="AM14" i="9"/>
  <c r="EJ14" i="2" s="1"/>
  <c r="AA15" i="9"/>
  <c r="DX15" i="2" s="1"/>
  <c r="AT15" i="9"/>
  <c r="EQ15" i="2" s="1"/>
  <c r="AJ15" i="9"/>
  <c r="EG15" i="2" s="1"/>
  <c r="AO15" i="9"/>
  <c r="EL15" i="2" s="1"/>
  <c r="AY49" i="9"/>
  <c r="EV55" i="2" s="1"/>
  <c r="AZ49" i="9"/>
  <c r="EW55" i="2" s="1"/>
  <c r="AX49" i="9"/>
  <c r="EU55" i="2" s="1"/>
  <c r="AY58" i="9"/>
  <c r="EV58" i="2" s="1"/>
  <c r="AW58" i="9"/>
  <c r="ET58" i="2" s="1"/>
  <c r="BB57" i="9"/>
  <c r="EY57" i="2" s="1"/>
  <c r="AF59" i="9"/>
  <c r="EC59" i="2" s="1"/>
  <c r="AK59" i="9"/>
  <c r="EH59" i="2" s="1"/>
  <c r="AM48" i="9"/>
  <c r="EJ54" i="2" s="1"/>
  <c r="AJ49" i="9"/>
  <c r="EG55" i="2" s="1"/>
  <c r="AN49" i="9"/>
  <c r="EK55" i="2" s="1"/>
  <c r="AR48" i="9"/>
  <c r="EO54" i="2" s="1"/>
  <c r="AO49" i="9"/>
  <c r="EL55" i="2" s="1"/>
  <c r="AP15" i="9"/>
  <c r="EM15" i="2" s="1"/>
  <c r="AW14" i="9"/>
  <c r="ET14" i="2" s="1"/>
  <c r="AS15" i="9"/>
  <c r="EP15" i="2" s="1"/>
  <c r="AK15" i="9"/>
  <c r="EH15" i="2" s="1"/>
  <c r="AC14" i="9"/>
  <c r="DZ14" i="2" s="1"/>
  <c r="Y15" i="9"/>
  <c r="DV15" i="2" s="1"/>
  <c r="AH14" i="9"/>
  <c r="EE14" i="2" s="1"/>
  <c r="AD15" i="9"/>
  <c r="EA15" i="2" s="1"/>
  <c r="BA14" i="9"/>
  <c r="EX14" i="2" s="1"/>
  <c r="AZ15" i="9"/>
  <c r="EW15" i="2" s="1"/>
  <c r="AQ14" i="9"/>
  <c r="EN14" i="2" s="1"/>
  <c r="Y60" i="9"/>
  <c r="DV60" i="2" s="1"/>
  <c r="CD22" i="9"/>
  <c r="GA22" i="2"/>
  <c r="DL44" i="2"/>
  <c r="DJ41" i="2"/>
  <c r="CE8" i="9"/>
  <c r="GB8" i="2"/>
  <c r="CF7" i="9"/>
  <c r="GC7" i="2"/>
  <c r="CD7" i="9"/>
  <c r="GA7" i="2"/>
  <c r="CG21" i="9"/>
  <c r="GD21" i="2"/>
  <c r="DK41" i="2"/>
  <c r="DL24" i="2"/>
  <c r="T6" i="9"/>
  <c r="DU6" i="2" s="1"/>
  <c r="T7" i="9"/>
  <c r="DU7" i="2" s="1"/>
  <c r="V10" i="9"/>
  <c r="DD10" i="2" s="1"/>
  <c r="GZ10" i="2" s="1"/>
  <c r="X10" i="9"/>
  <c r="DF10" i="2" s="1"/>
  <c r="HB10" i="2" s="1"/>
  <c r="W11" i="9"/>
  <c r="DE11" i="2" s="1"/>
  <c r="HA11" i="2" s="1"/>
  <c r="U13" i="9"/>
  <c r="DC13" i="2" s="1"/>
  <c r="GY13" i="2" s="1"/>
  <c r="W14" i="9"/>
  <c r="DE14" i="2" s="1"/>
  <c r="HA14" i="2" s="1"/>
  <c r="U15" i="9"/>
  <c r="DC15" i="2" s="1"/>
  <c r="GY15" i="2" s="1"/>
  <c r="W15" i="9"/>
  <c r="DE15" i="2" s="1"/>
  <c r="HA15" i="2" s="1"/>
  <c r="U16" i="9"/>
  <c r="DC16" i="2" s="1"/>
  <c r="GY16" i="2" s="1"/>
  <c r="W16" i="9"/>
  <c r="DE16" i="2" s="1"/>
  <c r="HA16" i="2" s="1"/>
  <c r="U17" i="9"/>
  <c r="DC17" i="2" s="1"/>
  <c r="GY17" i="2" s="1"/>
  <c r="W17" i="9"/>
  <c r="DE17" i="2" s="1"/>
  <c r="HA17" i="2" s="1"/>
  <c r="W18" i="9"/>
  <c r="DE18" i="2" s="1"/>
  <c r="HA18" i="2" s="1"/>
  <c r="U19" i="9"/>
  <c r="DC19" i="2" s="1"/>
  <c r="GY19" i="2" s="1"/>
  <c r="W19" i="9"/>
  <c r="DE19" i="2" s="1"/>
  <c r="HA19" i="2" s="1"/>
  <c r="T24" i="9"/>
  <c r="DU24" i="2" s="1"/>
  <c r="DP24" i="2" s="1"/>
  <c r="U25" i="9"/>
  <c r="DC25" i="2" s="1"/>
  <c r="GY25" i="2" s="1"/>
  <c r="W29" i="9"/>
  <c r="DE29" i="2" s="1"/>
  <c r="HA29" i="2" s="1"/>
  <c r="W30" i="9"/>
  <c r="DE30" i="2" s="1"/>
  <c r="HA30" i="2" s="1"/>
  <c r="X32" i="9"/>
  <c r="DF32" i="2" s="1"/>
  <c r="HB32" i="2" s="1"/>
  <c r="U38" i="9"/>
  <c r="DC38" i="2" s="1"/>
  <c r="GY38" i="2" s="1"/>
  <c r="W38" i="9"/>
  <c r="DE38" i="2" s="1"/>
  <c r="HA38" i="2" s="1"/>
  <c r="T40" i="9"/>
  <c r="DU34" i="2" s="1"/>
  <c r="U40" i="9"/>
  <c r="DC34" i="2" s="1"/>
  <c r="GY34" i="2" s="1"/>
  <c r="U42" i="9"/>
  <c r="DC44" i="2" s="1"/>
  <c r="GY44" i="2" s="1"/>
  <c r="T44" i="9"/>
  <c r="DU39" i="2" s="1"/>
  <c r="U44" i="9"/>
  <c r="DC39" i="2" s="1"/>
  <c r="GY39" i="2" s="1"/>
  <c r="U46" i="9"/>
  <c r="DC46" i="2" s="1"/>
  <c r="GY46" i="2" s="1"/>
  <c r="W46" i="9"/>
  <c r="DE46" i="2" s="1"/>
  <c r="HA46" i="2" s="1"/>
  <c r="V47" i="9"/>
  <c r="DD47" i="2" s="1"/>
  <c r="GZ47" i="2" s="1"/>
  <c r="T48" i="9"/>
  <c r="DU54" i="2" s="1"/>
  <c r="X57" i="9"/>
  <c r="DF57" i="2" s="1"/>
  <c r="HB57" i="2" s="1"/>
  <c r="X58" i="9"/>
  <c r="DF58" i="2" s="1"/>
  <c r="HB58" i="2" s="1"/>
  <c r="X60" i="9"/>
  <c r="DF60" i="2" s="1"/>
  <c r="HB60" i="2" s="1"/>
  <c r="X61" i="9"/>
  <c r="DF64" i="2" s="1"/>
  <c r="HB64" i="2" s="1"/>
  <c r="X62" i="9"/>
  <c r="DF61" i="2" s="1"/>
  <c r="HB61" i="2" s="1"/>
  <c r="X64" i="9"/>
  <c r="DF63" i="2" s="1"/>
  <c r="HB63" i="2" s="1"/>
  <c r="X67" i="9"/>
  <c r="DF67" i="2" s="1"/>
  <c r="HB67" i="2" s="1"/>
  <c r="X68" i="9"/>
  <c r="DF68" i="2" s="1"/>
  <c r="HB68" i="2" s="1"/>
  <c r="X53" i="9"/>
  <c r="DF51" i="2" s="1"/>
  <c r="HB51" i="2" s="1"/>
  <c r="K36" i="3"/>
  <c r="AV57" i="9"/>
  <c r="ES57" i="2" s="1"/>
  <c r="AQ58" i="9"/>
  <c r="EN58" i="2" s="1"/>
  <c r="AN59" i="9"/>
  <c r="EK59" i="2" s="1"/>
  <c r="AT58" i="9"/>
  <c r="EQ58" i="2" s="1"/>
  <c r="AV58" i="9"/>
  <c r="ES58" i="2" s="1"/>
  <c r="AJ58" i="9"/>
  <c r="EG58" i="2" s="1"/>
  <c r="BA57" i="9"/>
  <c r="EX57" i="2" s="1"/>
  <c r="AQ57" i="9"/>
  <c r="EN57" i="2" s="1"/>
  <c r="AY59" i="9"/>
  <c r="EV59" i="2" s="1"/>
  <c r="AZ60" i="9"/>
  <c r="EW60" i="2" s="1"/>
  <c r="DP54" i="2"/>
  <c r="DN38" i="2"/>
  <c r="DR54" i="2"/>
  <c r="DT54" i="2"/>
  <c r="DO54" i="2"/>
  <c r="DQ54" i="2"/>
  <c r="M21" i="9"/>
  <c r="J76" i="10"/>
  <c r="M11" i="9"/>
  <c r="AU60" i="9"/>
  <c r="ER60" i="2" s="1"/>
  <c r="AL60" i="9"/>
  <c r="EI60" i="2" s="1"/>
  <c r="AC59" i="9"/>
  <c r="DZ59" i="2" s="1"/>
  <c r="AD60" i="9"/>
  <c r="EA60" i="2" s="1"/>
  <c r="AH59" i="9"/>
  <c r="EE59" i="2" s="1"/>
  <c r="AV60" i="9"/>
  <c r="ES60" i="2" s="1"/>
  <c r="AX60" i="9"/>
  <c r="EU60" i="2" s="1"/>
  <c r="AL58" i="9"/>
  <c r="EI58" i="2" s="1"/>
  <c r="AZ59" i="9"/>
  <c r="EW59" i="2" s="1"/>
  <c r="AG58" i="9"/>
  <c r="ED58" i="2" s="1"/>
  <c r="AA59" i="9"/>
  <c r="DX59" i="2" s="1"/>
  <c r="AS59" i="9"/>
  <c r="EP59" i="2" s="1"/>
  <c r="Y59" i="9"/>
  <c r="DV59" i="2" s="1"/>
  <c r="AD59" i="9"/>
  <c r="EA59" i="2" s="1"/>
  <c r="AX59" i="9"/>
  <c r="EU59" i="2" s="1"/>
  <c r="AC57" i="9"/>
  <c r="DZ57" i="2" s="1"/>
  <c r="AT59" i="9"/>
  <c r="EQ59" i="2" s="1"/>
  <c r="AH58" i="9"/>
  <c r="EE58" i="2" s="1"/>
  <c r="AF58" i="9"/>
  <c r="EC58" i="2" s="1"/>
  <c r="AB58" i="9"/>
  <c r="DY58" i="2" s="1"/>
  <c r="AI58" i="9"/>
  <c r="EF58" i="2" s="1"/>
  <c r="AK58" i="9"/>
  <c r="EH58" i="2" s="1"/>
  <c r="AE58" i="9"/>
  <c r="EB58" i="2" s="1"/>
  <c r="AM57" i="9"/>
  <c r="EJ57" i="2" s="1"/>
  <c r="AA58" i="9"/>
  <c r="DX58" i="2" s="1"/>
  <c r="AU59" i="9"/>
  <c r="ER59" i="2" s="1"/>
  <c r="AO58" i="9"/>
  <c r="EL58" i="2" s="1"/>
  <c r="AY60" i="9"/>
  <c r="EV60" i="2" s="1"/>
  <c r="BB59" i="9"/>
  <c r="EY59" i="2" s="1"/>
  <c r="AP59" i="9"/>
  <c r="EM59" i="2" s="1"/>
  <c r="AO59" i="9"/>
  <c r="EL59" i="2" s="1"/>
  <c r="AM58" i="9"/>
  <c r="EJ58" i="2" s="1"/>
  <c r="AN58" i="9"/>
  <c r="EK58" i="2" s="1"/>
  <c r="AC58" i="9"/>
  <c r="DZ58" i="2" s="1"/>
  <c r="AX58" i="9"/>
  <c r="EU58" i="2" s="1"/>
  <c r="AA60" i="9"/>
  <c r="DX60" i="2" s="1"/>
  <c r="Z60" i="9"/>
  <c r="DW60" i="2" s="1"/>
  <c r="AL59" i="9"/>
  <c r="EI59" i="2" s="1"/>
  <c r="AB60" i="9"/>
  <c r="DY60" i="2" s="1"/>
  <c r="AW59" i="9"/>
  <c r="ET59" i="2" s="1"/>
  <c r="AM59" i="9"/>
  <c r="EJ59" i="2" s="1"/>
  <c r="AG60" i="9"/>
  <c r="ED60" i="2" s="1"/>
  <c r="AW57" i="9"/>
  <c r="ET57" i="2" s="1"/>
  <c r="AR58" i="9"/>
  <c r="EO58" i="2" s="1"/>
  <c r="AZ58" i="9"/>
  <c r="EW58" i="2" s="1"/>
  <c r="AS58" i="9"/>
  <c r="EP58" i="2" s="1"/>
  <c r="GP58" i="2" s="1"/>
  <c r="Z59" i="9"/>
  <c r="DW59" i="2" s="1"/>
  <c r="AU58" i="9"/>
  <c r="ER58" i="2" s="1"/>
  <c r="Y58" i="9"/>
  <c r="DV58" i="2" s="1"/>
  <c r="AI60" i="9"/>
  <c r="EF60" i="2" s="1"/>
  <c r="AQ60" i="9"/>
  <c r="EN60" i="2" s="1"/>
  <c r="AD35" i="9"/>
  <c r="EA41" i="2" s="1"/>
  <c r="AR34" i="9"/>
  <c r="EO42" i="2" s="1"/>
  <c r="AC34" i="9"/>
  <c r="DZ42" i="2" s="1"/>
  <c r="AM34" i="9"/>
  <c r="EJ42" i="2" s="1"/>
  <c r="AI35" i="9"/>
  <c r="EF41" i="2" s="1"/>
  <c r="AA35" i="9"/>
  <c r="DX41" i="2" s="1"/>
  <c r="AH34" i="9"/>
  <c r="EE42" i="2" s="1"/>
  <c r="AN35" i="9"/>
  <c r="EK41" i="2" s="1"/>
  <c r="Y35" i="9"/>
  <c r="DV41" i="2" s="1"/>
  <c r="AJ35" i="9"/>
  <c r="EG41" i="2" s="1"/>
  <c r="AY35" i="9"/>
  <c r="EV41" i="2" s="1"/>
  <c r="AO35" i="9"/>
  <c r="EL41" i="2" s="1"/>
  <c r="AS35" i="9"/>
  <c r="EP41" i="2" s="1"/>
  <c r="AW34" i="9"/>
  <c r="ET42" i="2" s="1"/>
  <c r="BB34" i="9"/>
  <c r="EY42" i="2" s="1"/>
  <c r="AX35" i="9"/>
  <c r="EU41" i="2" s="1"/>
  <c r="AT35" i="9"/>
  <c r="EQ41" i="2" s="1"/>
  <c r="AE35" i="9"/>
  <c r="EB41" i="2" s="1"/>
  <c r="AP35" i="9"/>
  <c r="EM41" i="2" s="1"/>
  <c r="AK35" i="9"/>
  <c r="EH41" i="2" s="1"/>
  <c r="F45" i="12"/>
  <c r="D46" i="12"/>
  <c r="F46" i="12" s="1"/>
  <c r="AZ35" i="9"/>
  <c r="EW41" i="2" s="1"/>
  <c r="Z35" i="9"/>
  <c r="DW41" i="2" s="1"/>
  <c r="DK55" i="2"/>
  <c r="DJ64" i="2"/>
  <c r="CG57" i="9"/>
  <c r="GD57" i="2" s="1"/>
  <c r="DG18" i="2"/>
  <c r="DR18" i="2" s="1"/>
  <c r="FQ8" i="2"/>
  <c r="DM24" i="2"/>
  <c r="DN64" i="2"/>
  <c r="DL22" i="2"/>
  <c r="DL13" i="2"/>
  <c r="DH33" i="2"/>
  <c r="DJ66" i="2"/>
  <c r="DH17" i="2"/>
  <c r="DJ57" i="2"/>
  <c r="DG36" i="2"/>
  <c r="DS36" i="2" s="1"/>
  <c r="DM54" i="2"/>
  <c r="M22" i="9"/>
  <c r="DH61" i="2"/>
  <c r="DL6" i="2"/>
  <c r="DM29" i="2"/>
  <c r="DL57" i="2"/>
  <c r="DN30" i="2"/>
  <c r="DM9" i="2"/>
  <c r="DK42" i="2"/>
  <c r="DH20" i="2"/>
  <c r="DN28" i="2"/>
  <c r="DM32" i="2"/>
  <c r="DH28" i="2"/>
  <c r="DI69" i="2"/>
  <c r="EU6" i="2"/>
  <c r="DE26" i="2"/>
  <c r="HA26" i="2" s="1"/>
  <c r="DN42" i="2"/>
  <c r="DJ33" i="2"/>
  <c r="DI27" i="2"/>
  <c r="DG28" i="2"/>
  <c r="DO28" i="2" s="1"/>
  <c r="DL31" i="2"/>
  <c r="DN44" i="2"/>
  <c r="AF84" i="5"/>
  <c r="AV4" i="5"/>
  <c r="AV5" i="5"/>
  <c r="AV10" i="5"/>
  <c r="AV11" i="5"/>
  <c r="AV17" i="5"/>
  <c r="AV18" i="5"/>
  <c r="AV23" i="5"/>
  <c r="AV24" i="5"/>
  <c r="AV29" i="5"/>
  <c r="AV35" i="5"/>
  <c r="AV41" i="5"/>
  <c r="AV47" i="5"/>
  <c r="AV53" i="5"/>
  <c r="AV59" i="5"/>
  <c r="AV65" i="5"/>
  <c r="AV71" i="5"/>
  <c r="AV77" i="5"/>
  <c r="AV83" i="5"/>
  <c r="AV84" i="5"/>
  <c r="V6" i="9"/>
  <c r="DD6" i="2" s="1"/>
  <c r="GZ6" i="2" s="1"/>
  <c r="W6" i="9"/>
  <c r="DE6" i="2" s="1"/>
  <c r="HA6" i="2" s="1"/>
  <c r="W7" i="9"/>
  <c r="DE7" i="2" s="1"/>
  <c r="HA7" i="2" s="1"/>
  <c r="X7" i="9"/>
  <c r="DF7" i="2" s="1"/>
  <c r="HB7" i="2" s="1"/>
  <c r="X8" i="9"/>
  <c r="DF8" i="2" s="1"/>
  <c r="HB8" i="2" s="1"/>
  <c r="T9" i="9"/>
  <c r="DU9" i="2" s="1"/>
  <c r="U11" i="9"/>
  <c r="DC11" i="2" s="1"/>
  <c r="GY11" i="2" s="1"/>
  <c r="V11" i="9"/>
  <c r="DD11" i="2" s="1"/>
  <c r="GZ11" i="2" s="1"/>
  <c r="W12" i="9"/>
  <c r="DE12" i="2" s="1"/>
  <c r="HA12" i="2" s="1"/>
  <c r="X12" i="9"/>
  <c r="DF12" i="2" s="1"/>
  <c r="HB12" i="2" s="1"/>
  <c r="T14" i="9"/>
  <c r="DU14" i="2" s="1"/>
  <c r="T15" i="9"/>
  <c r="DU15" i="2" s="1"/>
  <c r="T16" i="9"/>
  <c r="DU16" i="2" s="1"/>
  <c r="T17" i="9"/>
  <c r="DU17" i="2" s="1"/>
  <c r="T18" i="9"/>
  <c r="DU18" i="2" s="1"/>
  <c r="T19" i="9"/>
  <c r="DU19" i="2" s="1"/>
  <c r="T20" i="9"/>
  <c r="DU20" i="2" s="1"/>
  <c r="T21" i="9"/>
  <c r="DU21" i="2" s="1"/>
  <c r="T22" i="9"/>
  <c r="DU22" i="2" s="1"/>
  <c r="T23" i="9"/>
  <c r="DU23" i="2" s="1"/>
  <c r="U27" i="9"/>
  <c r="DC27" i="2" s="1"/>
  <c r="GY27" i="2" s="1"/>
  <c r="W28" i="9"/>
  <c r="DE28" i="2" s="1"/>
  <c r="HA28" i="2" s="1"/>
  <c r="T29" i="9"/>
  <c r="DU29" i="2" s="1"/>
  <c r="DO29" i="2" s="1"/>
  <c r="U30" i="9"/>
  <c r="DC30" i="2" s="1"/>
  <c r="GY30" i="2" s="1"/>
  <c r="W31" i="9"/>
  <c r="DE31" i="2" s="1"/>
  <c r="HA31" i="2" s="1"/>
  <c r="T32" i="9"/>
  <c r="DU32" i="2" s="1"/>
  <c r="T33" i="9"/>
  <c r="DU33" i="2" s="1"/>
  <c r="T35" i="9"/>
  <c r="DU41" i="2" s="1"/>
  <c r="DR41" i="2" s="1"/>
  <c r="T39" i="9"/>
  <c r="DU40" i="2" s="1"/>
  <c r="W41" i="9"/>
  <c r="DE35" i="2" s="1"/>
  <c r="HA35" i="2" s="1"/>
  <c r="X41" i="9"/>
  <c r="DF35" i="2" s="1"/>
  <c r="HB35" i="2" s="1"/>
  <c r="X42" i="9"/>
  <c r="DF44" i="2" s="1"/>
  <c r="HB44" i="2" s="1"/>
  <c r="W43" i="9"/>
  <c r="DE43" i="2" s="1"/>
  <c r="HA43" i="2" s="1"/>
  <c r="X43" i="9"/>
  <c r="DF43" i="2" s="1"/>
  <c r="HB43" i="2" s="1"/>
  <c r="T46" i="9"/>
  <c r="DU46" i="2" s="1"/>
  <c r="V48" i="9"/>
  <c r="DD54" i="2" s="1"/>
  <c r="GZ54" i="2" s="1"/>
  <c r="W48" i="9"/>
  <c r="DE54" i="2" s="1"/>
  <c r="HA54" i="2" s="1"/>
  <c r="T49" i="9"/>
  <c r="DU55" i="2" s="1"/>
  <c r="T53" i="9"/>
  <c r="DU51" i="2" s="1"/>
  <c r="U56" i="9"/>
  <c r="DC56" i="2" s="1"/>
  <c r="GY56" i="2" s="1"/>
  <c r="U57" i="9"/>
  <c r="DC57" i="2" s="1"/>
  <c r="GY57" i="2" s="1"/>
  <c r="W58" i="9"/>
  <c r="DE58" i="2" s="1"/>
  <c r="HA58" i="2" s="1"/>
  <c r="V59" i="9"/>
  <c r="DD59" i="2" s="1"/>
  <c r="GZ59" i="2" s="1"/>
  <c r="W59" i="9"/>
  <c r="DE59" i="2" s="1"/>
  <c r="HA59" i="2" s="1"/>
  <c r="V60" i="9"/>
  <c r="DD60" i="2" s="1"/>
  <c r="GZ60" i="2" s="1"/>
  <c r="W60" i="9"/>
  <c r="DE60" i="2" s="1"/>
  <c r="HA60" i="2" s="1"/>
  <c r="V61" i="9"/>
  <c r="DD64" i="2" s="1"/>
  <c r="GZ64" i="2" s="1"/>
  <c r="W61" i="9"/>
  <c r="DE64" i="2" s="1"/>
  <c r="HA64" i="2" s="1"/>
  <c r="V62" i="9"/>
  <c r="DD61" i="2" s="1"/>
  <c r="GZ61" i="2" s="1"/>
  <c r="W62" i="9"/>
  <c r="DE61" i="2" s="1"/>
  <c r="HA61" i="2" s="1"/>
  <c r="V63" i="9"/>
  <c r="DD62" i="2" s="1"/>
  <c r="GZ62" i="2" s="1"/>
  <c r="W63" i="9"/>
  <c r="DE62" i="2" s="1"/>
  <c r="HA62" i="2" s="1"/>
  <c r="V64" i="9"/>
  <c r="DD63" i="2" s="1"/>
  <c r="GZ63" i="2" s="1"/>
  <c r="V65" i="9"/>
  <c r="DD65" i="2" s="1"/>
  <c r="GZ65" i="2" s="1"/>
  <c r="W65" i="9"/>
  <c r="DE65" i="2" s="1"/>
  <c r="HA65" i="2" s="1"/>
  <c r="V66" i="9"/>
  <c r="DD66" i="2" s="1"/>
  <c r="GZ66" i="2" s="1"/>
  <c r="V67" i="9"/>
  <c r="DD67" i="2" s="1"/>
  <c r="GZ67" i="2" s="1"/>
  <c r="W67" i="9"/>
  <c r="DE67" i="2" s="1"/>
  <c r="HA67" i="2" s="1"/>
  <c r="V68" i="9"/>
  <c r="DD68" i="2" s="1"/>
  <c r="GZ68" i="2" s="1"/>
  <c r="W68" i="9"/>
  <c r="DE68" i="2" s="1"/>
  <c r="HA68" i="2" s="1"/>
  <c r="V69" i="9"/>
  <c r="DD69" i="2" s="1"/>
  <c r="GZ69" i="2" s="1"/>
  <c r="W69" i="9"/>
  <c r="DE69" i="2" s="1"/>
  <c r="HA69" i="2" s="1"/>
  <c r="U48" i="9"/>
  <c r="DC54" i="2" s="1"/>
  <c r="GY54" i="2" s="1"/>
  <c r="U49" i="9"/>
  <c r="DC55" i="2" s="1"/>
  <c r="GY55" i="2" s="1"/>
  <c r="W36" i="9"/>
  <c r="DE36" i="2" s="1"/>
  <c r="HA36" i="2" s="1"/>
  <c r="X49" i="9"/>
  <c r="DF55" i="2" s="1"/>
  <c r="HB55" i="2" s="1"/>
  <c r="V53" i="9"/>
  <c r="DD51" i="2" s="1"/>
  <c r="GZ51" i="2" s="1"/>
  <c r="T55" i="9"/>
  <c r="DU53" i="2" s="1"/>
  <c r="T54" i="9"/>
  <c r="DU52" i="2" s="1"/>
  <c r="BC46" i="9"/>
  <c r="EZ46" i="2" s="1"/>
  <c r="M20" i="9"/>
  <c r="DV46" i="2"/>
  <c r="DJ58" i="2"/>
  <c r="FO58" i="2"/>
  <c r="H75" i="10"/>
  <c r="M49" i="9"/>
  <c r="C44" i="9"/>
  <c r="B44" i="9" s="1"/>
  <c r="C48" i="9"/>
  <c r="B48" i="9" s="1"/>
  <c r="DJ21" i="2"/>
  <c r="M57" i="9"/>
  <c r="M34" i="9"/>
  <c r="DJ22" i="2"/>
  <c r="DJ11" i="2"/>
  <c r="GO6" i="2"/>
  <c r="M66" i="9"/>
  <c r="H36" i="3"/>
  <c r="M35" i="9"/>
  <c r="DS54" i="2"/>
  <c r="G36" i="3"/>
  <c r="C35" i="9"/>
  <c r="B35" i="9" s="1"/>
  <c r="DP50" i="2"/>
  <c r="DT51" i="2"/>
  <c r="DO51" i="2"/>
  <c r="C50" i="9"/>
  <c r="C51" i="9" s="1"/>
  <c r="DQ58" i="2"/>
  <c r="DS19" i="2"/>
  <c r="DT44" i="2"/>
  <c r="BD33" i="9"/>
  <c r="FA33" i="2" s="1"/>
  <c r="FI58" i="2"/>
  <c r="EA42" i="2"/>
  <c r="Y49" i="9"/>
  <c r="DV55" i="2" s="1"/>
  <c r="AA49" i="9"/>
  <c r="DX55" i="2" s="1"/>
  <c r="AE49" i="9"/>
  <c r="EB55" i="2" s="1"/>
  <c r="D61" i="12"/>
  <c r="F61" i="12"/>
  <c r="F60" i="12"/>
  <c r="F75" i="11"/>
  <c r="D76" i="11"/>
  <c r="F76" i="11" s="1"/>
  <c r="D71" i="18"/>
  <c r="F71" i="18" s="1"/>
  <c r="F70" i="18"/>
  <c r="D26" i="12"/>
  <c r="F26" i="12" s="1"/>
  <c r="F25" i="12"/>
  <c r="F55" i="18"/>
  <c r="D56" i="18"/>
  <c r="F56" i="18" s="1"/>
  <c r="D57" i="14"/>
  <c r="F57" i="14" s="1"/>
  <c r="F56" i="14"/>
  <c r="AK60" i="9"/>
  <c r="EH60" i="2" s="1"/>
  <c r="AT60" i="9"/>
  <c r="EQ60" i="2" s="1"/>
  <c r="AS60" i="9"/>
  <c r="EP60" i="2" s="1"/>
  <c r="AR59" i="9"/>
  <c r="EO59" i="2" s="1"/>
  <c r="AQ59" i="9"/>
  <c r="EN59" i="2" s="1"/>
  <c r="AO60" i="9"/>
  <c r="EL60" i="2" s="1"/>
  <c r="AJ60" i="9"/>
  <c r="EG60" i="2" s="1"/>
  <c r="AE60" i="9"/>
  <c r="EB60" i="2" s="1"/>
  <c r="BB58" i="9"/>
  <c r="EY58" i="2" s="1"/>
  <c r="BA59" i="9"/>
  <c r="EX59" i="2" s="1"/>
  <c r="AF60" i="9"/>
  <c r="EC60" i="2" s="1"/>
  <c r="AG59" i="9"/>
  <c r="ED59" i="2" s="1"/>
  <c r="AN60" i="9"/>
  <c r="EK60" i="2" s="1"/>
  <c r="AP60" i="9"/>
  <c r="EM60" i="2" s="1"/>
  <c r="AV59" i="9"/>
  <c r="ES59" i="2" s="1"/>
  <c r="D46" i="18"/>
  <c r="F46" i="18" s="1"/>
  <c r="F45" i="18"/>
  <c r="D87" i="14"/>
  <c r="F87" i="14"/>
  <c r="F86" i="14"/>
  <c r="E33" i="4"/>
  <c r="C34" i="4"/>
  <c r="E34" i="4"/>
  <c r="AU49" i="9"/>
  <c r="ER55" i="2" s="1"/>
  <c r="AH48" i="9"/>
  <c r="EE54" i="2" s="1"/>
  <c r="AU35" i="9"/>
  <c r="ER41" i="2" s="1"/>
  <c r="C29" i="4"/>
  <c r="E29" i="4"/>
  <c r="E28" i="4"/>
  <c r="AF35" i="9"/>
  <c r="EC41" i="2" s="1"/>
  <c r="F42" i="13"/>
  <c r="D43" i="13"/>
  <c r="F43" i="13" s="1"/>
  <c r="AP49" i="9"/>
  <c r="EM55" i="2" s="1"/>
  <c r="AK49" i="9"/>
  <c r="EH55" i="2" s="1"/>
  <c r="E23" i="4"/>
  <c r="C24" i="4"/>
  <c r="E24" i="4"/>
  <c r="AB31" i="5"/>
  <c r="AB30" i="5"/>
  <c r="AB29" i="5"/>
  <c r="AB28" i="5"/>
  <c r="AB27" i="5"/>
  <c r="AB26" i="5"/>
  <c r="GA44" i="2"/>
  <c r="CH8" i="9"/>
  <c r="GE8" i="2"/>
  <c r="CH7" i="9"/>
  <c r="GE7" i="2"/>
  <c r="GC29" i="2"/>
  <c r="AQ8" i="5"/>
  <c r="AA8" i="5"/>
  <c r="AI8" i="5"/>
  <c r="AE8" i="5"/>
  <c r="CF49" i="9"/>
  <c r="GC55" i="2" s="1"/>
  <c r="BE27" i="9"/>
  <c r="O27" i="9"/>
  <c r="DJ27" i="2" s="1"/>
  <c r="BJ39" i="9"/>
  <c r="BZ39" i="9"/>
  <c r="BU45" i="9"/>
  <c r="BS45" i="9"/>
  <c r="AQ7" i="5"/>
  <c r="AE7" i="5"/>
  <c r="AA7" i="5"/>
  <c r="AM7" i="5"/>
  <c r="AI7" i="5"/>
  <c r="AV9" i="5"/>
  <c r="GA41" i="2"/>
  <c r="CH44" i="9"/>
  <c r="GE39" i="2"/>
  <c r="AM8" i="5"/>
  <c r="AQ6" i="5"/>
  <c r="AI6" i="5"/>
  <c r="AE6" i="5"/>
  <c r="AA6" i="5"/>
  <c r="AM6" i="5"/>
  <c r="AV8" i="5"/>
  <c r="CH49" i="9"/>
  <c r="GE55" i="2" s="1"/>
  <c r="GA24" i="2"/>
  <c r="FY7" i="2"/>
  <c r="AQ5" i="5"/>
  <c r="AM5" i="5"/>
  <c r="AI5" i="5"/>
  <c r="AE5" i="5"/>
  <c r="AV7" i="5"/>
  <c r="AQ11" i="5"/>
  <c r="AM11" i="5"/>
  <c r="AI11" i="5"/>
  <c r="AE11" i="5"/>
  <c r="GC32" i="2"/>
  <c r="AQ4" i="5"/>
  <c r="AM4" i="5"/>
  <c r="AI4" i="5"/>
  <c r="AA4" i="5"/>
  <c r="AQ10" i="5"/>
  <c r="AM10" i="5"/>
  <c r="AI10" i="5"/>
  <c r="AA10" i="5"/>
  <c r="CE49" i="9"/>
  <c r="GB55" i="2" s="1"/>
  <c r="DN13" i="2"/>
  <c r="AQ9" i="5"/>
  <c r="AM9" i="5"/>
  <c r="AE9" i="5"/>
  <c r="AA9" i="5"/>
  <c r="AQ15" i="5"/>
  <c r="AR15" i="5"/>
  <c r="AE15" i="5"/>
  <c r="AF15" i="5"/>
  <c r="AA15" i="5"/>
  <c r="AB15" i="5"/>
  <c r="AM15" i="5"/>
  <c r="AN15" i="5"/>
  <c r="AI15" i="5"/>
  <c r="AJ15" i="5"/>
  <c r="AQ21" i="5"/>
  <c r="AM21" i="5"/>
  <c r="AI21" i="5"/>
  <c r="AE21" i="5"/>
  <c r="AV21" i="5"/>
  <c r="AQ27" i="5"/>
  <c r="AM27" i="5"/>
  <c r="AI27" i="5"/>
  <c r="AE27" i="5"/>
  <c r="AV27" i="5"/>
  <c r="AQ33" i="5"/>
  <c r="AM33" i="5"/>
  <c r="AI33" i="5"/>
  <c r="AE33" i="5"/>
  <c r="AV33" i="5"/>
  <c r="AQ39" i="5"/>
  <c r="AM39" i="5"/>
  <c r="AI39" i="5"/>
  <c r="AE39" i="5"/>
  <c r="AV39" i="5"/>
  <c r="AW84" i="5"/>
  <c r="AA81" i="5"/>
  <c r="AA75" i="5"/>
  <c r="AA69" i="5"/>
  <c r="AA63" i="5"/>
  <c r="AI57" i="5"/>
  <c r="AM51" i="5"/>
  <c r="AE81" i="5"/>
  <c r="AE75" i="5"/>
  <c r="AE69" i="5"/>
  <c r="AE63" i="5"/>
  <c r="AM57" i="5"/>
  <c r="AV45" i="5"/>
  <c r="E48" i="4"/>
  <c r="C49" i="4"/>
  <c r="E49" i="4"/>
  <c r="D53" i="13"/>
  <c r="F53" i="13" s="1"/>
  <c r="F52" i="13"/>
  <c r="F50" i="13"/>
  <c r="F51" i="13"/>
  <c r="G50" i="13"/>
  <c r="G70" i="13"/>
  <c r="F70" i="13"/>
  <c r="F71" i="13"/>
  <c r="D71" i="13"/>
  <c r="D72" i="13" s="1"/>
  <c r="F72" i="13" s="1"/>
  <c r="DJ54" i="2"/>
  <c r="AM81" i="5"/>
  <c r="AM75" i="5"/>
  <c r="AM69" i="5"/>
  <c r="AM63" i="5"/>
  <c r="AV57" i="5"/>
  <c r="AA51" i="5"/>
  <c r="AE45" i="5"/>
  <c r="AA16" i="5"/>
  <c r="AQ14" i="5"/>
  <c r="AR14" i="5"/>
  <c r="AE14" i="5"/>
  <c r="AF14" i="5"/>
  <c r="AQ81" i="5"/>
  <c r="AQ75" i="5"/>
  <c r="AQ69" i="5"/>
  <c r="AQ63" i="5"/>
  <c r="AA57" i="5"/>
  <c r="AE51" i="5"/>
  <c r="AI45" i="5"/>
  <c r="AE28" i="5"/>
  <c r="AA23" i="5"/>
  <c r="AE22" i="5"/>
  <c r="AM20" i="5"/>
  <c r="AA17" i="5"/>
  <c r="AE16" i="5"/>
  <c r="AQ49" i="5"/>
  <c r="AR49" i="5"/>
  <c r="AE49" i="5"/>
  <c r="AF49" i="5"/>
  <c r="AE57" i="5"/>
  <c r="AI51" i="5"/>
  <c r="AM45" i="5"/>
  <c r="AI28" i="5"/>
  <c r="AI22" i="5"/>
  <c r="AE17" i="5"/>
  <c r="AI16" i="5"/>
  <c r="AI14" i="5"/>
  <c r="AJ14" i="5"/>
  <c r="AQ54" i="5"/>
  <c r="AR54" i="5"/>
  <c r="AE54" i="5"/>
  <c r="AF54" i="5"/>
  <c r="E46" i="4"/>
  <c r="F46" i="4"/>
  <c r="U6" i="9"/>
  <c r="DC6" i="2" s="1"/>
  <c r="GY6" i="2" s="1"/>
  <c r="M51" i="9"/>
  <c r="M50" i="9"/>
  <c r="C32" i="9"/>
  <c r="B32" i="9" s="1"/>
  <c r="M55" i="9"/>
  <c r="M54" i="9"/>
  <c r="M19" i="9"/>
  <c r="M52" i="9"/>
  <c r="CD13" i="9"/>
  <c r="GA13" i="2"/>
  <c r="CD14" i="9"/>
  <c r="GA14" i="2"/>
  <c r="FD11" i="2"/>
  <c r="AZ48" i="9"/>
  <c r="EW54" i="2" s="1"/>
  <c r="BB47" i="9"/>
  <c r="EY47" i="2" s="1"/>
  <c r="AP48" i="9"/>
  <c r="EM54" i="2" s="1"/>
  <c r="AO48" i="9"/>
  <c r="EL54" i="2" s="1"/>
  <c r="AI48" i="9"/>
  <c r="AR47" i="9"/>
  <c r="EO47" i="2" s="1"/>
  <c r="AI49" i="9"/>
  <c r="EF55" i="2" s="1"/>
  <c r="AF49" i="9"/>
  <c r="EC55" i="2" s="1"/>
  <c r="AX48" i="9"/>
  <c r="EU54" i="2" s="1"/>
  <c r="GQ54" i="2" s="1"/>
  <c r="AY48" i="9"/>
  <c r="EV54" i="2" s="1"/>
  <c r="AU48" i="9"/>
  <c r="ER54" i="2" s="1"/>
  <c r="AF48" i="9"/>
  <c r="EC54" i="2" s="1"/>
  <c r="Z48" i="9"/>
  <c r="AT48" i="9"/>
  <c r="EQ54" i="2" s="1"/>
  <c r="AH47" i="9"/>
  <c r="EE47" i="2" s="1"/>
  <c r="AC47" i="9"/>
  <c r="DZ47" i="2" s="1"/>
  <c r="AN48" i="9"/>
  <c r="EK54" i="2" s="1"/>
  <c r="GO54" i="2" s="1"/>
  <c r="AK48" i="9"/>
  <c r="EH54" i="2" s="1"/>
  <c r="H69" i="10"/>
  <c r="F69" i="10"/>
  <c r="F75" i="10"/>
  <c r="I69" i="10"/>
  <c r="K24" i="10"/>
  <c r="DQ55" i="2"/>
  <c r="C66" i="9"/>
  <c r="B66" i="9" s="1"/>
  <c r="DO67" i="2"/>
  <c r="B61" i="9"/>
  <c r="B57" i="9"/>
  <c r="AW85" i="5"/>
  <c r="AW83" i="5"/>
  <c r="AW65" i="5"/>
  <c r="AW64" i="5"/>
  <c r="AW63" i="5"/>
  <c r="AW62" i="5"/>
  <c r="AW48" i="5"/>
  <c r="AW47" i="5"/>
  <c r="AW46" i="5"/>
  <c r="AW11" i="5"/>
  <c r="AW10" i="5"/>
  <c r="AW81" i="5"/>
  <c r="AW80" i="5"/>
  <c r="AW79" i="5"/>
  <c r="AW78" i="5"/>
  <c r="AW77" i="5"/>
  <c r="AW76" i="5"/>
  <c r="AW75" i="5"/>
  <c r="AW43" i="5"/>
  <c r="AW42" i="5"/>
  <c r="AW41" i="5"/>
  <c r="AW25" i="5"/>
  <c r="AW24" i="5"/>
  <c r="AB61" i="9"/>
  <c r="DY64" i="2" s="1"/>
  <c r="AW72" i="5"/>
  <c r="AW71" i="5"/>
  <c r="AW70" i="5"/>
  <c r="AW69" i="5"/>
  <c r="AW68" i="5"/>
  <c r="AW53" i="5"/>
  <c r="AW52" i="5"/>
  <c r="AW51" i="5"/>
  <c r="AW50" i="5"/>
  <c r="AW38" i="5"/>
  <c r="AW37" i="5"/>
  <c r="AW36" i="5"/>
  <c r="AW35" i="5"/>
  <c r="AW23" i="5"/>
  <c r="AW22" i="5"/>
  <c r="AW5" i="5"/>
  <c r="AW4" i="5"/>
  <c r="AJ21" i="5"/>
  <c r="AJ20" i="5"/>
  <c r="AJ19" i="5"/>
  <c r="AJ18" i="5"/>
  <c r="AJ17" i="5"/>
  <c r="AJ16" i="5"/>
  <c r="AF59" i="5"/>
  <c r="AF58" i="5"/>
  <c r="AF57" i="5"/>
  <c r="AF61" i="5"/>
  <c r="AF60" i="5"/>
  <c r="AF23" i="5"/>
  <c r="AF22" i="5"/>
  <c r="AR65" i="5"/>
  <c r="AR64" i="5"/>
  <c r="AR63" i="5"/>
  <c r="AR62" i="5"/>
  <c r="AB21" i="5"/>
  <c r="AB20" i="5"/>
  <c r="AB19" i="5"/>
  <c r="AB18" i="5"/>
  <c r="AB17" i="5"/>
  <c r="AB16" i="5"/>
  <c r="AN79" i="5"/>
  <c r="AN78" i="5"/>
  <c r="AN77" i="5"/>
  <c r="AN76" i="5"/>
  <c r="AN81" i="5"/>
  <c r="AN75" i="5"/>
  <c r="AN80" i="5"/>
  <c r="AR40" i="5"/>
  <c r="AR39" i="5"/>
  <c r="AW31" i="5"/>
  <c r="AW30" i="5"/>
  <c r="AW29" i="5"/>
  <c r="AW28" i="5"/>
  <c r="AW27" i="5"/>
  <c r="AW26" i="5"/>
  <c r="AN11" i="5"/>
  <c r="AN10" i="5"/>
  <c r="AW9" i="5"/>
  <c r="AW8" i="5"/>
  <c r="AW7" i="5"/>
  <c r="AW6" i="5"/>
  <c r="AJ9" i="5"/>
  <c r="AJ8" i="5"/>
  <c r="AJ7" i="5"/>
  <c r="AJ6" i="5"/>
  <c r="CH45" i="9"/>
  <c r="GE45" i="2"/>
  <c r="FP45" i="2"/>
  <c r="AW61" i="9"/>
  <c r="ET64" i="2" s="1"/>
  <c r="AZ63" i="9"/>
  <c r="EW62" i="2" s="1"/>
  <c r="AK66" i="9"/>
  <c r="EH66" i="2" s="1"/>
  <c r="AV61" i="9"/>
  <c r="ES64" i="2" s="1"/>
  <c r="AG69" i="9"/>
  <c r="ED69" i="2" s="1"/>
  <c r="AJ65" i="9"/>
  <c r="EG65" i="2" s="1"/>
  <c r="AC69" i="9"/>
  <c r="DZ69" i="2" s="1"/>
  <c r="AW62" i="9"/>
  <c r="ET61" i="2" s="1"/>
  <c r="BB64" i="9"/>
  <c r="EY63" i="2" s="1"/>
  <c r="AB23" i="5"/>
  <c r="AB22" i="5"/>
  <c r="AR72" i="5"/>
  <c r="AR71" i="5"/>
  <c r="AR70" i="5"/>
  <c r="AR69" i="5"/>
  <c r="AR68" i="5"/>
  <c r="AF45" i="5"/>
  <c r="AF44" i="5"/>
  <c r="AW45" i="5"/>
  <c r="AW44" i="5"/>
  <c r="AN51" i="5"/>
  <c r="AN50" i="5"/>
  <c r="AN53" i="5"/>
  <c r="AN52" i="5"/>
  <c r="AW34" i="5"/>
  <c r="AW33" i="5"/>
  <c r="AW32" i="5"/>
  <c r="AF31" i="5"/>
  <c r="AF30" i="5"/>
  <c r="AF29" i="5"/>
  <c r="AF28" i="5"/>
  <c r="AF27" i="5"/>
  <c r="AF26" i="5"/>
  <c r="AR11" i="5"/>
  <c r="AR10" i="5"/>
  <c r="AF5" i="5"/>
  <c r="AF4" i="5"/>
  <c r="AR9" i="5"/>
  <c r="AR8" i="5"/>
  <c r="AR7" i="5"/>
  <c r="AR6" i="5"/>
  <c r="CE45" i="9"/>
  <c r="GB45" i="2"/>
  <c r="FR45" i="2"/>
  <c r="I70" i="10"/>
  <c r="AL54" i="9"/>
  <c r="EI52" i="2" s="1"/>
  <c r="AJ23" i="5"/>
  <c r="AJ22" i="5"/>
  <c r="AR80" i="5"/>
  <c r="AR79" i="5"/>
  <c r="AR78" i="5"/>
  <c r="AR77" i="5"/>
  <c r="AR76" i="5"/>
  <c r="AR81" i="5"/>
  <c r="AR75" i="5"/>
  <c r="AB51" i="5"/>
  <c r="AB50" i="5"/>
  <c r="AB53" i="5"/>
  <c r="AB52" i="5"/>
  <c r="AN57" i="5"/>
  <c r="AN61" i="5"/>
  <c r="AN60" i="5"/>
  <c r="AN59" i="5"/>
  <c r="AN58" i="5"/>
  <c r="AJ58" i="5"/>
  <c r="AJ57" i="5"/>
  <c r="AJ61" i="5"/>
  <c r="AJ60" i="5"/>
  <c r="AJ59" i="5"/>
  <c r="AW40" i="5"/>
  <c r="AW39" i="5"/>
  <c r="AF34" i="5"/>
  <c r="AF33" i="5"/>
  <c r="AF32" i="5"/>
  <c r="AJ31" i="5"/>
  <c r="AJ30" i="5"/>
  <c r="AJ29" i="5"/>
  <c r="AJ28" i="5"/>
  <c r="AJ27" i="5"/>
  <c r="AJ26" i="5"/>
  <c r="AB5" i="5"/>
  <c r="AB4" i="5"/>
  <c r="AF11" i="5"/>
  <c r="AF10" i="5"/>
  <c r="CE39" i="9"/>
  <c r="GB40" i="2"/>
  <c r="FW40" i="2"/>
  <c r="AW50" i="9"/>
  <c r="ET48" i="2" s="1"/>
  <c r="AM50" i="9"/>
  <c r="EJ48" i="2" s="1"/>
  <c r="AI68" i="9"/>
  <c r="EF68" i="2" s="1"/>
  <c r="AM54" i="9"/>
  <c r="EJ52" i="2" s="1"/>
  <c r="AN53" i="9"/>
  <c r="EK51" i="2" s="1"/>
  <c r="AF21" i="5"/>
  <c r="AF20" i="5"/>
  <c r="AF19" i="5"/>
  <c r="AF18" i="5"/>
  <c r="AF17" i="5"/>
  <c r="AF16" i="5"/>
  <c r="AJ45" i="5"/>
  <c r="AJ44" i="5"/>
  <c r="AW61" i="5"/>
  <c r="AW60" i="5"/>
  <c r="AW59" i="5"/>
  <c r="AW58" i="5"/>
  <c r="AW57" i="5"/>
  <c r="D73" i="13"/>
  <c r="F73" i="13" s="1"/>
  <c r="AF65" i="5"/>
  <c r="AF64" i="5"/>
  <c r="AF63" i="5"/>
  <c r="AF62" i="5"/>
  <c r="AB63" i="5"/>
  <c r="AB62" i="5"/>
  <c r="AB65" i="5"/>
  <c r="AB64" i="5"/>
  <c r="AF40" i="5"/>
  <c r="AF39" i="5"/>
  <c r="AJ34" i="5"/>
  <c r="AJ33" i="5"/>
  <c r="AJ32" i="5"/>
  <c r="AN31" i="5"/>
  <c r="AN30" i="5"/>
  <c r="AN29" i="5"/>
  <c r="AN28" i="5"/>
  <c r="AN27" i="5"/>
  <c r="AN26" i="5"/>
  <c r="AR21" i="5"/>
  <c r="AR20" i="5"/>
  <c r="AR19" i="5"/>
  <c r="AR18" i="5"/>
  <c r="AR17" i="5"/>
  <c r="AR16" i="5"/>
  <c r="AJ5" i="5"/>
  <c r="AJ4" i="5"/>
  <c r="AN7" i="5"/>
  <c r="AN6" i="5"/>
  <c r="AN9" i="5"/>
  <c r="AN8" i="5"/>
  <c r="CD39" i="9"/>
  <c r="GA40" i="2"/>
  <c r="FG40" i="2"/>
  <c r="AR53" i="9"/>
  <c r="EO51" i="2" s="1"/>
  <c r="AE54" i="9"/>
  <c r="EB52" i="2" s="1"/>
  <c r="AL69" i="9"/>
  <c r="EI69" i="2" s="1"/>
  <c r="AJ51" i="9"/>
  <c r="EG49" i="2" s="1"/>
  <c r="AN45" i="5"/>
  <c r="AN44" i="5"/>
  <c r="AF53" i="5"/>
  <c r="AF52" i="5"/>
  <c r="AF51" i="5"/>
  <c r="AF50" i="5"/>
  <c r="AN63" i="5"/>
  <c r="AN62" i="5"/>
  <c r="AN65" i="5"/>
  <c r="AN64" i="5"/>
  <c r="AF70" i="5"/>
  <c r="AF69" i="5"/>
  <c r="AF68" i="5"/>
  <c r="AF72" i="5"/>
  <c r="AF71" i="5"/>
  <c r="AB71" i="5"/>
  <c r="AB70" i="5"/>
  <c r="AB69" i="5"/>
  <c r="AB68" i="5"/>
  <c r="AB72" i="5"/>
  <c r="AJ40" i="5"/>
  <c r="AJ39" i="5"/>
  <c r="AN34" i="5"/>
  <c r="AN33" i="5"/>
  <c r="AN32" i="5"/>
  <c r="AR31" i="5"/>
  <c r="AR30" i="5"/>
  <c r="AR29" i="5"/>
  <c r="AR28" i="5"/>
  <c r="AR27" i="5"/>
  <c r="AR26" i="5"/>
  <c r="AB11" i="5"/>
  <c r="AB10" i="5"/>
  <c r="AN5" i="5"/>
  <c r="AN4" i="5"/>
  <c r="AB7" i="5"/>
  <c r="AB6" i="5"/>
  <c r="AB9" i="5"/>
  <c r="AB8" i="5"/>
  <c r="AL52" i="9"/>
  <c r="EI50" i="2" s="1"/>
  <c r="AP50" i="9"/>
  <c r="EM48" i="2" s="1"/>
  <c r="AO53" i="9"/>
  <c r="EL51" i="2" s="1"/>
  <c r="AG51" i="9"/>
  <c r="ED49" i="2" s="1"/>
  <c r="AU53" i="9"/>
  <c r="ER51" i="2" s="1"/>
  <c r="Z52" i="9"/>
  <c r="DW50" i="2" s="1"/>
  <c r="AD50" i="9"/>
  <c r="EA48" i="2" s="1"/>
  <c r="AH54" i="9"/>
  <c r="EE52" i="2" s="1"/>
  <c r="AB52" i="9"/>
  <c r="DY50" i="2" s="1"/>
  <c r="AF50" i="9"/>
  <c r="EC48" i="2" s="1"/>
  <c r="AV53" i="9"/>
  <c r="ES51" i="2" s="1"/>
  <c r="AM49" i="9"/>
  <c r="EJ55" i="2" s="1"/>
  <c r="AQ51" i="9"/>
  <c r="EN49" i="2" s="1"/>
  <c r="AN54" i="9"/>
  <c r="EK52" i="2" s="1"/>
  <c r="AD53" i="9"/>
  <c r="EA51" i="2" s="1"/>
  <c r="GM51" i="2" s="1"/>
  <c r="AX51" i="9"/>
  <c r="EU49" i="2" s="1"/>
  <c r="AY55" i="9"/>
  <c r="EV53" i="2" s="1"/>
  <c r="AS51" i="9"/>
  <c r="EP49" i="2" s="1"/>
  <c r="AP54" i="9"/>
  <c r="EM52" i="2" s="1"/>
  <c r="BB52" i="9"/>
  <c r="EY50" i="2" s="1"/>
  <c r="AX54" i="9"/>
  <c r="EU52" i="2" s="1"/>
  <c r="AZ53" i="9"/>
  <c r="EW51" i="2" s="1"/>
  <c r="AZ51" i="9"/>
  <c r="EW49" i="2" s="1"/>
  <c r="AX52" i="9"/>
  <c r="EU50" i="2" s="1"/>
  <c r="BB51" i="9"/>
  <c r="EY49" i="2" s="1"/>
  <c r="BA52" i="9"/>
  <c r="EX50" i="2" s="1"/>
  <c r="AN51" i="9"/>
  <c r="EK49" i="2" s="1"/>
  <c r="AV52" i="9"/>
  <c r="ES50" i="2" s="1"/>
  <c r="AG68" i="9"/>
  <c r="ED68" i="2" s="1"/>
  <c r="BB27" i="9"/>
  <c r="EY27" i="2" s="1"/>
  <c r="AW27" i="9"/>
  <c r="ET27" i="2" s="1"/>
  <c r="AH30" i="9"/>
  <c r="EE30" i="2" s="1"/>
  <c r="AK28" i="9"/>
  <c r="EH28" i="2" s="1"/>
  <c r="AQ27" i="9"/>
  <c r="EN27" i="2" s="1"/>
  <c r="AS28" i="9"/>
  <c r="EP28" i="2" s="1"/>
  <c r="AE27" i="9"/>
  <c r="EB27" i="2" s="1"/>
  <c r="Y30" i="9"/>
  <c r="DV30" i="2" s="1"/>
  <c r="AR29" i="9"/>
  <c r="EO29" i="2" s="1"/>
  <c r="AB27" i="9"/>
  <c r="DY27" i="2" s="1"/>
  <c r="AE30" i="9"/>
  <c r="EB30" i="2" s="1"/>
  <c r="AD29" i="9"/>
  <c r="Z30" i="9"/>
  <c r="DW30" i="2" s="1"/>
  <c r="AJ30" i="9"/>
  <c r="EG30" i="2" s="1"/>
  <c r="AP27" i="9"/>
  <c r="EM27" i="2" s="1"/>
  <c r="AU27" i="9"/>
  <c r="ER27" i="2" s="1"/>
  <c r="AA31" i="9"/>
  <c r="DX31" i="2" s="1"/>
  <c r="AO29" i="9"/>
  <c r="EL29" i="2" s="1"/>
  <c r="AV28" i="9"/>
  <c r="ES28" i="2" s="1"/>
  <c r="AW26" i="9"/>
  <c r="ET26" i="2" s="1"/>
  <c r="AN27" i="9"/>
  <c r="EK27" i="2" s="1"/>
  <c r="Z28" i="9"/>
  <c r="AD28" i="9"/>
  <c r="EA28" i="2" s="1"/>
  <c r="AN29" i="9"/>
  <c r="EK29" i="2" s="1"/>
  <c r="AY28" i="9"/>
  <c r="EV28" i="2" s="1"/>
  <c r="AX30" i="9"/>
  <c r="EU30" i="2" s="1"/>
  <c r="BA28" i="9"/>
  <c r="EX28" i="2" s="1"/>
  <c r="AL27" i="9"/>
  <c r="EI27" i="2" s="1"/>
  <c r="AG30" i="9"/>
  <c r="ED30" i="2" s="1"/>
  <c r="AM28" i="9"/>
  <c r="EJ28" i="2" s="1"/>
  <c r="AG27" i="9"/>
  <c r="ED27" i="2" s="1"/>
  <c r="AR25" i="9"/>
  <c r="EO25" i="2" s="1"/>
  <c r="AV27" i="9"/>
  <c r="ES27" i="2" s="1"/>
  <c r="AP30" i="9"/>
  <c r="EM30" i="2" s="1"/>
  <c r="AS29" i="9"/>
  <c r="EP29" i="2" s="1"/>
  <c r="AE28" i="9"/>
  <c r="EB28" i="2" s="1"/>
  <c r="AZ27" i="9"/>
  <c r="EW27" i="2" s="1"/>
  <c r="AZ26" i="9"/>
  <c r="EW26" i="2" s="1"/>
  <c r="AK27" i="9"/>
  <c r="EH27" i="2" s="1"/>
  <c r="AL30" i="9"/>
  <c r="EI30" i="2" s="1"/>
  <c r="AQ26" i="9"/>
  <c r="EN26" i="2" s="1"/>
  <c r="AR30" i="9"/>
  <c r="EO30" i="2" s="1"/>
  <c r="AM26" i="9"/>
  <c r="EJ26" i="2" s="1"/>
  <c r="AF27" i="9"/>
  <c r="EC27" i="2" s="1"/>
  <c r="AV25" i="9"/>
  <c r="ES25" i="2" s="1"/>
  <c r="AT26" i="9"/>
  <c r="EQ26" i="2" s="1"/>
  <c r="AQ29" i="9"/>
  <c r="EN29" i="2" s="1"/>
  <c r="AH28" i="9"/>
  <c r="EE28" i="2" s="1"/>
  <c r="AA26" i="9"/>
  <c r="DX26" i="2" s="1"/>
  <c r="AA29" i="9"/>
  <c r="DX29" i="2" s="1"/>
  <c r="AP29" i="9"/>
  <c r="EM29" i="2" s="1"/>
  <c r="AA27" i="9"/>
  <c r="DX27" i="2" s="1"/>
  <c r="AR27" i="9"/>
  <c r="EO27" i="2" s="1"/>
  <c r="AL26" i="9"/>
  <c r="EI26" i="2" s="1"/>
  <c r="AN28" i="9"/>
  <c r="EK28" i="2" s="1"/>
  <c r="AZ28" i="9"/>
  <c r="EW28" i="2" s="1"/>
  <c r="BB29" i="9"/>
  <c r="EY29" i="2" s="1"/>
  <c r="AS31" i="9"/>
  <c r="EP31" i="2" s="1"/>
  <c r="AE31" i="9"/>
  <c r="EB31" i="2" s="1"/>
  <c r="AF31" i="9"/>
  <c r="EC31" i="2" s="1"/>
  <c r="Y26" i="9"/>
  <c r="DV26" i="2" s="1"/>
  <c r="GL26" i="2" s="1"/>
  <c r="AW25" i="9"/>
  <c r="ET25" i="2" s="1"/>
  <c r="AC26" i="9"/>
  <c r="DZ26" i="2" s="1"/>
  <c r="AO28" i="9"/>
  <c r="EL28" i="2" s="1"/>
  <c r="AV26" i="9"/>
  <c r="ES26" i="2" s="1"/>
  <c r="Z26" i="9"/>
  <c r="AD27" i="9"/>
  <c r="EA27" i="2" s="1"/>
  <c r="AE26" i="9"/>
  <c r="EB26" i="2" s="1"/>
  <c r="AM25" i="9"/>
  <c r="EJ25" i="2" s="1"/>
  <c r="AD30" i="9"/>
  <c r="EA30" i="2" s="1"/>
  <c r="AR28" i="9"/>
  <c r="EO28" i="2" s="1"/>
  <c r="AL29" i="9"/>
  <c r="EI29" i="2" s="1"/>
  <c r="AK30" i="9"/>
  <c r="EH30" i="2" s="1"/>
  <c r="AI26" i="9"/>
  <c r="EF26" i="2" s="1"/>
  <c r="AT27" i="9"/>
  <c r="AD26" i="9"/>
  <c r="EA26" i="2" s="1"/>
  <c r="AQ28" i="9"/>
  <c r="EN28" i="2" s="1"/>
  <c r="AU28" i="9"/>
  <c r="ER28" i="2" s="1"/>
  <c r="AJ27" i="9"/>
  <c r="EG27" i="2" s="1"/>
  <c r="BB28" i="9"/>
  <c r="EY28" i="2" s="1"/>
  <c r="BA29" i="9"/>
  <c r="EX29" i="2" s="1"/>
  <c r="AX29" i="9"/>
  <c r="EU29" i="2" s="1"/>
  <c r="AC27" i="9"/>
  <c r="DZ27" i="2" s="1"/>
  <c r="AQ30" i="9"/>
  <c r="EN30" i="2" s="1"/>
  <c r="AH26" i="9"/>
  <c r="EE26" i="2" s="1"/>
  <c r="AL25" i="9"/>
  <c r="EI25" i="2" s="1"/>
  <c r="AU26" i="9"/>
  <c r="ER26" i="2" s="1"/>
  <c r="AB26" i="9"/>
  <c r="DY26" i="2" s="1"/>
  <c r="AA30" i="9"/>
  <c r="DX30" i="2" s="1"/>
  <c r="AI29" i="9"/>
  <c r="EF29" i="2" s="1"/>
  <c r="AG26" i="9"/>
  <c r="ED26" i="2" s="1"/>
  <c r="Y29" i="9"/>
  <c r="DV29" i="2" s="1"/>
  <c r="AO30" i="9"/>
  <c r="AW28" i="9"/>
  <c r="ET28" i="2" s="1"/>
  <c r="AT29" i="9"/>
  <c r="EQ29" i="2" s="1"/>
  <c r="AL28" i="9"/>
  <c r="EI28" i="2" s="1"/>
  <c r="AF28" i="9"/>
  <c r="EC28" i="2" s="1"/>
  <c r="AI28" i="9"/>
  <c r="EF28" i="2" s="1"/>
  <c r="AA28" i="9"/>
  <c r="DX28" i="2" s="1"/>
  <c r="AZ31" i="9"/>
  <c r="EW31" i="2" s="1"/>
  <c r="AX31" i="9"/>
  <c r="EU31" i="2" s="1"/>
  <c r="AJ31" i="9"/>
  <c r="EG31" i="2" s="1"/>
  <c r="AU31" i="9"/>
  <c r="ER31" i="2" s="1"/>
  <c r="AD31" i="9"/>
  <c r="EA31" i="2" s="1"/>
  <c r="AN31" i="9"/>
  <c r="EK31" i="2" s="1"/>
  <c r="Z27" i="9"/>
  <c r="DW27" i="2" s="1"/>
  <c r="AB30" i="9"/>
  <c r="DY30" i="2" s="1"/>
  <c r="AH27" i="9"/>
  <c r="EE27" i="2" s="1"/>
  <c r="AS27" i="9"/>
  <c r="EP27" i="2" s="1"/>
  <c r="AK29" i="9"/>
  <c r="EH29" i="2" s="1"/>
  <c r="AM29" i="9"/>
  <c r="EJ29" i="2" s="1"/>
  <c r="AC29" i="9"/>
  <c r="DZ29" i="2" s="1"/>
  <c r="AS30" i="9"/>
  <c r="EP30" i="2" s="1"/>
  <c r="AI27" i="9"/>
  <c r="EF27" i="2" s="1"/>
  <c r="AV30" i="9"/>
  <c r="ES30" i="2" s="1"/>
  <c r="AU30" i="9"/>
  <c r="ER30" i="2" s="1"/>
  <c r="AH29" i="9"/>
  <c r="EE29" i="2" s="1"/>
  <c r="AT28" i="9"/>
  <c r="EQ28" i="2" s="1"/>
  <c r="AJ26" i="9"/>
  <c r="EG26" i="2" s="1"/>
  <c r="AB28" i="9"/>
  <c r="DY28" i="2" s="1"/>
  <c r="AG28" i="9"/>
  <c r="ED28" i="2" s="1"/>
  <c r="AH25" i="9"/>
  <c r="EE25" i="2" s="1"/>
  <c r="AP28" i="9"/>
  <c r="EM28" i="2" s="1"/>
  <c r="AX28" i="9"/>
  <c r="EU28" i="2" s="1"/>
  <c r="BB30" i="9"/>
  <c r="EY30" i="2" s="1"/>
  <c r="BA30" i="9"/>
  <c r="EX30" i="2" s="1"/>
  <c r="AO31" i="9"/>
  <c r="EL31" i="2" s="1"/>
  <c r="AI31" i="9"/>
  <c r="EF31" i="2" s="1"/>
  <c r="AG25" i="9"/>
  <c r="ED25" i="2" s="1"/>
  <c r="AM27" i="9"/>
  <c r="EJ27" i="2" s="1"/>
  <c r="AR26" i="9"/>
  <c r="EO26" i="2" s="1"/>
  <c r="AV29" i="9"/>
  <c r="ES29" i="2" s="1"/>
  <c r="Z29" i="9"/>
  <c r="DW29" i="2" s="1"/>
  <c r="AT30" i="9"/>
  <c r="EQ30" i="2" s="1"/>
  <c r="AU29" i="9"/>
  <c r="ER29" i="2" s="1"/>
  <c r="AO26" i="9"/>
  <c r="EL26" i="2" s="1"/>
  <c r="AK26" i="9"/>
  <c r="EH26" i="2" s="1"/>
  <c r="AI30" i="9"/>
  <c r="AW29" i="9"/>
  <c r="ET29" i="2" s="1"/>
  <c r="Y27" i="9"/>
  <c r="DV27" i="2" s="1"/>
  <c r="AS26" i="9"/>
  <c r="EP26" i="2" s="1"/>
  <c r="AC25" i="9"/>
  <c r="DZ25" i="2" s="1"/>
  <c r="AO27" i="9"/>
  <c r="EL27" i="2" s="1"/>
  <c r="AY29" i="9"/>
  <c r="EV29" i="2" s="1"/>
  <c r="AZ30" i="9"/>
  <c r="EW30" i="2" s="1"/>
  <c r="AY31" i="9"/>
  <c r="EV31" i="2" s="1"/>
  <c r="AC30" i="9"/>
  <c r="DZ30" i="2" s="1"/>
  <c r="Z31" i="9"/>
  <c r="DW31" i="2" s="1"/>
  <c r="AT31" i="9"/>
  <c r="EQ31" i="2" s="1"/>
  <c r="Y31" i="9"/>
  <c r="BA27" i="9"/>
  <c r="EX27" i="2" s="1"/>
  <c r="AY27" i="9"/>
  <c r="EV27" i="2" s="1"/>
  <c r="AN26" i="9"/>
  <c r="EK26" i="2" s="1"/>
  <c r="GO26" i="2" s="1"/>
  <c r="AQ25" i="9"/>
  <c r="EN25" i="2" s="1"/>
  <c r="AF26" i="9"/>
  <c r="EC26" i="2" s="1"/>
  <c r="AF29" i="9"/>
  <c r="EC29" i="2" s="1"/>
  <c r="AE29" i="9"/>
  <c r="EB29" i="2" s="1"/>
  <c r="AJ29" i="9"/>
  <c r="EG29" i="2" s="1"/>
  <c r="AC28" i="9"/>
  <c r="DZ28" i="2" s="1"/>
  <c r="AG29" i="9"/>
  <c r="ED29" i="2" s="1"/>
  <c r="AP26" i="9"/>
  <c r="EM26" i="2" s="1"/>
  <c r="AN30" i="9"/>
  <c r="EK30" i="2" s="1"/>
  <c r="AB29" i="9"/>
  <c r="DY29" i="2" s="1"/>
  <c r="AF30" i="9"/>
  <c r="EC30" i="2" s="1"/>
  <c r="AB25" i="9"/>
  <c r="DY25" i="2" s="1"/>
  <c r="Y28" i="9"/>
  <c r="DV28" i="2" s="1"/>
  <c r="AJ28" i="9"/>
  <c r="EG28" i="2" s="1"/>
  <c r="AY30" i="9"/>
  <c r="EV30" i="2" s="1"/>
  <c r="AP31" i="9"/>
  <c r="EM31" i="2" s="1"/>
  <c r="AX27" i="9"/>
  <c r="EU27" i="2" s="1"/>
  <c r="BB26" i="9"/>
  <c r="EY26" i="2" s="1"/>
  <c r="AZ29" i="9"/>
  <c r="EW29" i="2" s="1"/>
  <c r="AK31" i="9"/>
  <c r="EH31" i="2" s="1"/>
  <c r="AX26" i="9"/>
  <c r="EU26" i="2" s="1"/>
  <c r="BA26" i="9"/>
  <c r="EX26" i="2" s="1"/>
  <c r="BA25" i="9"/>
  <c r="EX25" i="2" s="1"/>
  <c r="AW30" i="9"/>
  <c r="ET30" i="2" s="1"/>
  <c r="AY26" i="9"/>
  <c r="EV26" i="2" s="1"/>
  <c r="AM30" i="9"/>
  <c r="EJ30" i="2" s="1"/>
  <c r="BB25" i="9"/>
  <c r="EY25" i="2" s="1"/>
  <c r="AD51" i="9"/>
  <c r="EA49" i="2" s="1"/>
  <c r="AJ53" i="5"/>
  <c r="AJ52" i="5"/>
  <c r="AJ51" i="5"/>
  <c r="AJ50" i="5"/>
  <c r="AN21" i="5"/>
  <c r="AN20" i="5"/>
  <c r="AN19" i="5"/>
  <c r="AN18" i="5"/>
  <c r="AN17" i="5"/>
  <c r="AN16" i="5"/>
  <c r="AB60" i="5"/>
  <c r="AB59" i="5"/>
  <c r="AB58" i="5"/>
  <c r="AB57" i="5"/>
  <c r="AB61" i="5"/>
  <c r="AN68" i="5"/>
  <c r="AN72" i="5"/>
  <c r="AN71" i="5"/>
  <c r="AN70" i="5"/>
  <c r="AN69" i="5"/>
  <c r="AF77" i="5"/>
  <c r="AF76" i="5"/>
  <c r="AF81" i="5"/>
  <c r="AF75" i="5"/>
  <c r="AF80" i="5"/>
  <c r="AF79" i="5"/>
  <c r="AF78" i="5"/>
  <c r="AB76" i="5"/>
  <c r="AB81" i="5"/>
  <c r="AB75" i="5"/>
  <c r="AB80" i="5"/>
  <c r="AB79" i="5"/>
  <c r="AB78" i="5"/>
  <c r="AB77" i="5"/>
  <c r="AN40" i="5"/>
  <c r="AN39" i="5"/>
  <c r="AR34" i="5"/>
  <c r="AR33" i="5"/>
  <c r="AR32" i="5"/>
  <c r="AW21" i="5"/>
  <c r="AW20" i="5"/>
  <c r="AW19" i="5"/>
  <c r="AW18" i="5"/>
  <c r="AW17" i="5"/>
  <c r="AW16" i="5"/>
  <c r="AJ11" i="5"/>
  <c r="AJ10" i="5"/>
  <c r="AR5" i="5"/>
  <c r="AR4" i="5"/>
  <c r="AF9" i="5"/>
  <c r="AF8" i="5"/>
  <c r="AF7" i="5"/>
  <c r="AF6" i="5"/>
  <c r="FB27" i="2"/>
  <c r="CD27" i="9"/>
  <c r="GA27" i="2"/>
  <c r="BB8" i="9"/>
  <c r="EY8" i="2" s="1"/>
  <c r="BA7" i="9"/>
  <c r="EX7" i="2" s="1"/>
  <c r="AX11" i="9"/>
  <c r="EU11" i="2" s="1"/>
  <c r="AY8" i="9"/>
  <c r="EV8" i="2" s="1"/>
  <c r="BA11" i="9"/>
  <c r="EX11" i="2" s="1"/>
  <c r="AJ9" i="9"/>
  <c r="EG9" i="2" s="1"/>
  <c r="AW9" i="9"/>
  <c r="ET9" i="2" s="1"/>
  <c r="AT9" i="9"/>
  <c r="EQ9" i="2" s="1"/>
  <c r="Y10" i="9"/>
  <c r="DV10" i="2" s="1"/>
  <c r="AN9" i="9"/>
  <c r="EK9" i="2" s="1"/>
  <c r="AL6" i="9"/>
  <c r="EI6" i="2" s="1"/>
  <c r="AF10" i="9"/>
  <c r="EC10" i="2" s="1"/>
  <c r="AC11" i="9"/>
  <c r="DZ11" i="2" s="1"/>
  <c r="Y7" i="9"/>
  <c r="DV7" i="2" s="1"/>
  <c r="AI7" i="9"/>
  <c r="EF7" i="2" s="1"/>
  <c r="AK11" i="9"/>
  <c r="EH11" i="2" s="1"/>
  <c r="AO7" i="9"/>
  <c r="EL7" i="2" s="1"/>
  <c r="AT8" i="9"/>
  <c r="EQ8" i="2" s="1"/>
  <c r="AI11" i="9"/>
  <c r="EF11" i="2" s="1"/>
  <c r="AB11" i="9"/>
  <c r="DY11" i="2" s="1"/>
  <c r="Y9" i="9"/>
  <c r="AN11" i="9"/>
  <c r="EK11" i="2" s="1"/>
  <c r="AR10" i="9"/>
  <c r="EO10" i="2" s="1"/>
  <c r="AE10" i="9"/>
  <c r="EB10" i="2" s="1"/>
  <c r="AZ10" i="9"/>
  <c r="EW10" i="2" s="1"/>
  <c r="AY9" i="9"/>
  <c r="EV9" i="2" s="1"/>
  <c r="BB9" i="9"/>
  <c r="EY9" i="2" s="1"/>
  <c r="AX7" i="9"/>
  <c r="EU7" i="2" s="1"/>
  <c r="AS9" i="9"/>
  <c r="EP9" i="2" s="1"/>
  <c r="AO8" i="9"/>
  <c r="EL8" i="2" s="1"/>
  <c r="AG9" i="9"/>
  <c r="ED9" i="2" s="1"/>
  <c r="AQ8" i="9"/>
  <c r="EN8" i="2" s="1"/>
  <c r="AK10" i="9"/>
  <c r="EH10" i="2" s="1"/>
  <c r="Z10" i="9"/>
  <c r="DW10" i="2" s="1"/>
  <c r="AQ9" i="9"/>
  <c r="EN9" i="2" s="1"/>
  <c r="AH6" i="9"/>
  <c r="EE6" i="2" s="1"/>
  <c r="AF11" i="9"/>
  <c r="EC11" i="2" s="1"/>
  <c r="AO11" i="9"/>
  <c r="EL11" i="2" s="1"/>
  <c r="AF7" i="9"/>
  <c r="EC7" i="2" s="1"/>
  <c r="AQ11" i="9"/>
  <c r="EN11" i="2" s="1"/>
  <c r="Z8" i="9"/>
  <c r="AV11" i="9"/>
  <c r="ES11" i="2" s="1"/>
  <c r="AG10" i="9"/>
  <c r="ED10" i="2" s="1"/>
  <c r="AV7" i="9"/>
  <c r="ES7" i="2" s="1"/>
  <c r="AA10" i="9"/>
  <c r="DX10" i="2" s="1"/>
  <c r="AP8" i="9"/>
  <c r="EM8" i="2" s="1"/>
  <c r="AD9" i="9"/>
  <c r="EA9" i="2" s="1"/>
  <c r="AB8" i="9"/>
  <c r="DY8" i="2" s="1"/>
  <c r="AZ7" i="9"/>
  <c r="EW7" i="2" s="1"/>
  <c r="BB10" i="9"/>
  <c r="EY10" i="2" s="1"/>
  <c r="AX8" i="9"/>
  <c r="EU8" i="2" s="1"/>
  <c r="AZ11" i="9"/>
  <c r="EW11" i="2" s="1"/>
  <c r="BA8" i="9"/>
  <c r="EX8" i="2" s="1"/>
  <c r="AE7" i="9"/>
  <c r="EB7" i="2" s="1"/>
  <c r="AI10" i="9"/>
  <c r="EF10" i="2" s="1"/>
  <c r="AW11" i="9"/>
  <c r="ET11" i="2" s="1"/>
  <c r="AM6" i="9"/>
  <c r="EJ6" i="2" s="1"/>
  <c r="AW6" i="9"/>
  <c r="ET6" i="2" s="1"/>
  <c r="AJ8" i="9"/>
  <c r="EG8" i="2" s="1"/>
  <c r="AB6" i="9"/>
  <c r="DY6" i="2" s="1"/>
  <c r="AD8" i="9"/>
  <c r="EA8" i="2" s="1"/>
  <c r="AF8" i="9"/>
  <c r="EC8" i="2" s="1"/>
  <c r="Z7" i="9"/>
  <c r="DW7" i="2" s="1"/>
  <c r="AU8" i="9"/>
  <c r="ER8" i="2" s="1"/>
  <c r="Z9" i="9"/>
  <c r="DW9" i="2" s="1"/>
  <c r="AP10" i="9"/>
  <c r="EM10" i="2" s="1"/>
  <c r="AR7" i="9"/>
  <c r="EO7" i="2" s="1"/>
  <c r="AS8" i="9"/>
  <c r="EP8" i="2" s="1"/>
  <c r="AA9" i="9"/>
  <c r="DX9" i="2" s="1"/>
  <c r="AW10" i="9"/>
  <c r="ET10" i="2" s="1"/>
  <c r="AI8" i="9"/>
  <c r="EF8" i="2" s="1"/>
  <c r="AE11" i="9"/>
  <c r="EB11" i="2" s="1"/>
  <c r="AR8" i="9"/>
  <c r="EO8" i="2" s="1"/>
  <c r="AE8" i="9"/>
  <c r="EB8" i="2" s="1"/>
  <c r="AV6" i="9"/>
  <c r="ES6" i="2" s="1"/>
  <c r="AX9" i="9"/>
  <c r="EU9" i="2" s="1"/>
  <c r="BA9" i="9"/>
  <c r="EX9" i="2" s="1"/>
  <c r="BB6" i="9"/>
  <c r="EY6" i="2" s="1"/>
  <c r="AY10" i="9"/>
  <c r="EV10" i="2" s="1"/>
  <c r="AM10" i="9"/>
  <c r="EJ10" i="2" s="1"/>
  <c r="AH9" i="9"/>
  <c r="EE9" i="2" s="1"/>
  <c r="AS10" i="9"/>
  <c r="EP10" i="2" s="1"/>
  <c r="AN10" i="9"/>
  <c r="EK10" i="2" s="1"/>
  <c r="AV10" i="9"/>
  <c r="ES10" i="2" s="1"/>
  <c r="AU11" i="9"/>
  <c r="ER11" i="2" s="1"/>
  <c r="AJ11" i="9"/>
  <c r="EG11" i="2" s="1"/>
  <c r="AP9" i="9"/>
  <c r="EM9" i="2" s="1"/>
  <c r="AT10" i="9"/>
  <c r="EQ10" i="2" s="1"/>
  <c r="AS11" i="9"/>
  <c r="EP11" i="2" s="1"/>
  <c r="AU9" i="9"/>
  <c r="ER9" i="2" s="1"/>
  <c r="AG8" i="9"/>
  <c r="ED8" i="2" s="1"/>
  <c r="AN8" i="9"/>
  <c r="EK8" i="2" s="1"/>
  <c r="AA8" i="9"/>
  <c r="DX8" i="2" s="1"/>
  <c r="AH7" i="9"/>
  <c r="EE7" i="2" s="1"/>
  <c r="AR9" i="9"/>
  <c r="EO9" i="2" s="1"/>
  <c r="AC6" i="9"/>
  <c r="DZ6" i="2" s="1"/>
  <c r="BA10" i="9"/>
  <c r="EX10" i="2" s="1"/>
  <c r="BB7" i="9"/>
  <c r="EY7" i="2" s="1"/>
  <c r="AY11" i="9"/>
  <c r="EV11" i="2" s="1"/>
  <c r="AZ8" i="9"/>
  <c r="EW8" i="2" s="1"/>
  <c r="BB11" i="9"/>
  <c r="EY11" i="2" s="1"/>
  <c r="Y11" i="9"/>
  <c r="DV11" i="2" s="1"/>
  <c r="AL9" i="9"/>
  <c r="EI9" i="2" s="1"/>
  <c r="AJ10" i="9"/>
  <c r="EG10" i="2" s="1"/>
  <c r="AT11" i="9"/>
  <c r="EQ11" i="2" s="1"/>
  <c r="AB10" i="9"/>
  <c r="DY10" i="2" s="1"/>
  <c r="AQ10" i="9"/>
  <c r="EN10" i="2" s="1"/>
  <c r="AL11" i="9"/>
  <c r="EI11" i="2" s="1"/>
  <c r="AG11" i="9"/>
  <c r="ED11" i="2" s="1"/>
  <c r="AB7" i="9"/>
  <c r="DY7" i="2" s="1"/>
  <c r="AL7" i="9"/>
  <c r="EI7" i="2" s="1"/>
  <c r="AS7" i="9"/>
  <c r="EP7" i="2" s="1"/>
  <c r="AQ7" i="9"/>
  <c r="EN7" i="2" s="1"/>
  <c r="AN7" i="9"/>
  <c r="EK7" i="2" s="1"/>
  <c r="AP7" i="9"/>
  <c r="EM7" i="2" s="1"/>
  <c r="AC8" i="9"/>
  <c r="DZ8" i="2" s="1"/>
  <c r="AG6" i="9"/>
  <c r="ED6" i="2" s="1"/>
  <c r="AV9" i="9"/>
  <c r="ES9" i="2" s="1"/>
  <c r="AM8" i="9"/>
  <c r="EJ8" i="2" s="1"/>
  <c r="AY7" i="9"/>
  <c r="EV7" i="2" s="1"/>
  <c r="AZ9" i="9"/>
  <c r="EW9" i="2" s="1"/>
  <c r="BA6" i="9"/>
  <c r="EX6" i="2" s="1"/>
  <c r="AX10" i="9"/>
  <c r="EU10" i="2" s="1"/>
  <c r="AE9" i="9"/>
  <c r="EB9" i="2" s="1"/>
  <c r="AF9" i="9"/>
  <c r="EC9" i="2" s="1"/>
  <c r="AU10" i="9"/>
  <c r="ER10" i="2" s="1"/>
  <c r="AW8" i="9"/>
  <c r="ET8" i="2" s="1"/>
  <c r="AH11" i="9"/>
  <c r="EE11" i="2" s="1"/>
  <c r="AL10" i="9"/>
  <c r="EI10" i="2" s="1"/>
  <c r="AK7" i="9"/>
  <c r="EH7" i="2" s="1"/>
  <c r="AC7" i="9"/>
  <c r="DZ7" i="2" s="1"/>
  <c r="AD11" i="9"/>
  <c r="EA11" i="2" s="1"/>
  <c r="AT7" i="9"/>
  <c r="EQ7" i="2" s="1"/>
  <c r="AJ7" i="9"/>
  <c r="EG7" i="2" s="1"/>
  <c r="AR11" i="9"/>
  <c r="EO11" i="2" s="1"/>
  <c r="AU7" i="9"/>
  <c r="ER7" i="2" s="1"/>
  <c r="AC10" i="9"/>
  <c r="DZ10" i="2" s="1"/>
  <c r="AA11" i="9"/>
  <c r="DX11" i="2" s="1"/>
  <c r="AL8" i="9"/>
  <c r="EI8" i="2" s="1"/>
  <c r="AO9" i="9"/>
  <c r="EL9" i="2" s="1"/>
  <c r="AA7" i="9"/>
  <c r="DX7" i="2" s="1"/>
  <c r="AC9" i="9"/>
  <c r="DZ9" i="2" s="1"/>
  <c r="AP11" i="9"/>
  <c r="EM11" i="2" s="1"/>
  <c r="AM9" i="9"/>
  <c r="EJ9" i="2" s="1"/>
  <c r="AH8" i="9"/>
  <c r="EE8" i="2" s="1"/>
  <c r="AK8" i="9"/>
  <c r="EH8" i="2" s="1"/>
  <c r="AD10" i="9"/>
  <c r="EA10" i="2" s="1"/>
  <c r="AW7" i="9"/>
  <c r="ET7" i="2" s="1"/>
  <c r="AD7" i="9"/>
  <c r="EA7" i="2" s="1"/>
  <c r="AM7" i="9"/>
  <c r="EJ7" i="2" s="1"/>
  <c r="Z11" i="9"/>
  <c r="DW11" i="2" s="1"/>
  <c r="AQ6" i="9"/>
  <c r="EN6" i="2" s="1"/>
  <c r="AK9" i="9"/>
  <c r="EH9" i="2" s="1"/>
  <c r="Y8" i="9"/>
  <c r="DV8" i="2" s="1"/>
  <c r="AM11" i="9"/>
  <c r="EJ11" i="2" s="1"/>
  <c r="AH10" i="9"/>
  <c r="EE10" i="2" s="1"/>
  <c r="AG7" i="9"/>
  <c r="ED7" i="2" s="1"/>
  <c r="AV8" i="9"/>
  <c r="ES8" i="2" s="1"/>
  <c r="AB9" i="9"/>
  <c r="DY9" i="2" s="1"/>
  <c r="AO10" i="9"/>
  <c r="EL10" i="2" s="1"/>
  <c r="AR6" i="9"/>
  <c r="EO6" i="2" s="1"/>
  <c r="AI9" i="9"/>
  <c r="EF9" i="2" s="1"/>
  <c r="AS52" i="9"/>
  <c r="EP50" i="2" s="1"/>
  <c r="GP50" i="2" s="1"/>
  <c r="AE50" i="9"/>
  <c r="EB48" i="2" s="1"/>
  <c r="AP55" i="9"/>
  <c r="EM53" i="2" s="1"/>
  <c r="AI52" i="9"/>
  <c r="EF50" i="2" s="1"/>
  <c r="AT51" i="9"/>
  <c r="EQ49" i="2" s="1"/>
  <c r="AF55" i="9"/>
  <c r="EC53" i="2" s="1"/>
  <c r="AQ54" i="9"/>
  <c r="EN52" i="2" s="1"/>
  <c r="AC51" i="9"/>
  <c r="DZ49" i="2" s="1"/>
  <c r="AN50" i="9"/>
  <c r="EK48" i="2" s="1"/>
  <c r="Z54" i="9"/>
  <c r="DW52" i="2" s="1"/>
  <c r="AL68" i="9"/>
  <c r="EI68" i="2" s="1"/>
  <c r="AJ68" i="9"/>
  <c r="EG68" i="2" s="1"/>
  <c r="AT55" i="9"/>
  <c r="EQ53" i="2" s="1"/>
  <c r="AI50" i="9"/>
  <c r="EF48" i="2" s="1"/>
  <c r="AW52" i="9"/>
  <c r="ET50" i="2" s="1"/>
  <c r="EF54" i="2"/>
  <c r="GN54" i="2" s="1"/>
  <c r="DW54" i="2"/>
  <c r="C36" i="10"/>
  <c r="C33" i="10"/>
  <c r="AB55" i="9"/>
  <c r="DY53" i="2" s="1"/>
  <c r="AG55" i="9"/>
  <c r="ED53" i="2" s="1"/>
  <c r="AH55" i="9"/>
  <c r="EE53" i="2" s="1"/>
  <c r="AR55" i="9"/>
  <c r="EO53" i="2" s="1"/>
  <c r="DV9" i="2"/>
  <c r="AV55" i="9"/>
  <c r="ES53" i="2" s="1"/>
  <c r="GG26" i="2"/>
  <c r="AR69" i="9"/>
  <c r="EO69" i="2" s="1"/>
  <c r="AN69" i="9"/>
  <c r="EK69" i="2" s="1"/>
  <c r="AH67" i="9"/>
  <c r="EE67" i="2" s="1"/>
  <c r="Z68" i="9"/>
  <c r="DW68" i="2" s="1"/>
  <c r="AM68" i="9"/>
  <c r="EJ68" i="2" s="1"/>
  <c r="Y68" i="9"/>
  <c r="DV68" i="2" s="1"/>
  <c r="AU69" i="9"/>
  <c r="ER69" i="2" s="1"/>
  <c r="AS69" i="9"/>
  <c r="EP69" i="2" s="1"/>
  <c r="AI69" i="9"/>
  <c r="EF69" i="2" s="1"/>
  <c r="Z69" i="9"/>
  <c r="DW69" i="2" s="1"/>
  <c r="AZ69" i="9"/>
  <c r="EW69" i="2" s="1"/>
  <c r="AM67" i="9"/>
  <c r="EJ67" i="2" s="1"/>
  <c r="AM69" i="9"/>
  <c r="EJ69" i="2" s="1"/>
  <c r="AF69" i="9"/>
  <c r="EC69" i="2" s="1"/>
  <c r="AW68" i="9"/>
  <c r="ET68" i="2" s="1"/>
  <c r="AC67" i="9"/>
  <c r="DZ67" i="2" s="1"/>
  <c r="BB69" i="9"/>
  <c r="EY69" i="2" s="1"/>
  <c r="AD69" i="9"/>
  <c r="EA69" i="2" s="1"/>
  <c r="AP69" i="9"/>
  <c r="EM69" i="2" s="1"/>
  <c r="AK69" i="9"/>
  <c r="EH69" i="2" s="1"/>
  <c r="AS68" i="9"/>
  <c r="EP68" i="2" s="1"/>
  <c r="AO68" i="9"/>
  <c r="EL68" i="2" s="1"/>
  <c r="AF68" i="9"/>
  <c r="EC68" i="2" s="1"/>
  <c r="AK68" i="9"/>
  <c r="EH68" i="2" s="1"/>
  <c r="BB50" i="9"/>
  <c r="EY48" i="2" s="1"/>
  <c r="AK53" i="9"/>
  <c r="EH51" i="2" s="1"/>
  <c r="BB53" i="9"/>
  <c r="EY51" i="2" s="1"/>
  <c r="Z51" i="9"/>
  <c r="DW49" i="2" s="1"/>
  <c r="AO52" i="9"/>
  <c r="EL50" i="2" s="1"/>
  <c r="AI51" i="9"/>
  <c r="AT50" i="9"/>
  <c r="EQ48" i="2" s="1"/>
  <c r="BB49" i="9"/>
  <c r="EY55" i="2" s="1"/>
  <c r="AZ54" i="9"/>
  <c r="EW52" i="2" s="1"/>
  <c r="Y50" i="9"/>
  <c r="AJ53" i="9"/>
  <c r="EG51" i="2" s="1"/>
  <c r="AC49" i="9"/>
  <c r="DZ55" i="2" s="1"/>
  <c r="AW54" i="9"/>
  <c r="ET52" i="2" s="1"/>
  <c r="AX55" i="9"/>
  <c r="AE53" i="9"/>
  <c r="EB51" i="2" s="1"/>
  <c r="AU54" i="9"/>
  <c r="ER52" i="2" s="1"/>
  <c r="AM52" i="9"/>
  <c r="EJ50" i="2" s="1"/>
  <c r="AK50" i="9"/>
  <c r="EH48" i="2" s="1"/>
  <c r="AA50" i="9"/>
  <c r="DX48" i="2" s="1"/>
  <c r="AF54" i="9"/>
  <c r="EC52" i="2" s="1"/>
  <c r="F90" i="11"/>
  <c r="D91" i="11"/>
  <c r="F91" i="11" s="1"/>
  <c r="AM47" i="9"/>
  <c r="EJ47" i="2" s="1"/>
  <c r="Y48" i="9"/>
  <c r="Z49" i="9"/>
  <c r="DW55" i="2" s="1"/>
  <c r="AC48" i="9"/>
  <c r="DZ54" i="2" s="1"/>
  <c r="BB48" i="9"/>
  <c r="EY54" i="2" s="1"/>
  <c r="AG48" i="9"/>
  <c r="ED54" i="2" s="1"/>
  <c r="BA48" i="9"/>
  <c r="EX54" i="2" s="1"/>
  <c r="AE48" i="9"/>
  <c r="EB54" i="2" s="1"/>
  <c r="AD49" i="9"/>
  <c r="AB48" i="9"/>
  <c r="DY54" i="2" s="1"/>
  <c r="AD48" i="9"/>
  <c r="EA54" i="2" s="1"/>
  <c r="GM54" i="2" s="1"/>
  <c r="AW47" i="9"/>
  <c r="ET47" i="2" s="1"/>
  <c r="AT49" i="9"/>
  <c r="EQ55" i="2" s="1"/>
  <c r="GJ55" i="2" s="1"/>
  <c r="AV48" i="9"/>
  <c r="ES54" i="2" s="1"/>
  <c r="AL48" i="9"/>
  <c r="EI54" i="2" s="1"/>
  <c r="AQ48" i="9"/>
  <c r="EN54" i="2" s="1"/>
  <c r="D56" i="11"/>
  <c r="F56" i="11" s="1"/>
  <c r="F55" i="11"/>
  <c r="DL67" i="2"/>
  <c r="FX55" i="2"/>
  <c r="FW55" i="2"/>
  <c r="FZ55" i="2"/>
  <c r="FK55" i="2"/>
  <c r="FN55" i="2"/>
  <c r="FP51" i="2"/>
  <c r="FM51" i="2"/>
  <c r="FV54" i="2"/>
  <c r="FS51" i="2"/>
  <c r="DN23" i="2"/>
  <c r="DI12" i="2"/>
  <c r="DL34" i="2"/>
  <c r="FP57" i="2"/>
  <c r="DM49" i="2"/>
  <c r="DI53" i="2"/>
  <c r="DK52" i="2"/>
  <c r="DI55" i="2"/>
  <c r="FD56" i="2"/>
  <c r="EW6" i="2"/>
  <c r="DM69" i="2"/>
  <c r="DM36" i="2"/>
  <c r="DI31" i="2"/>
  <c r="DH30" i="2"/>
  <c r="DM61" i="2"/>
  <c r="DL18" i="2"/>
  <c r="EC6" i="2"/>
  <c r="DJ56" i="2"/>
  <c r="DM27" i="2"/>
  <c r="DI39" i="2"/>
  <c r="DH36" i="2"/>
  <c r="FN57" i="2"/>
  <c r="DJ68" i="2"/>
  <c r="DM33" i="2"/>
  <c r="DM34" i="2"/>
  <c r="DC42" i="2"/>
  <c r="GY42" i="2" s="1"/>
  <c r="DI22" i="2"/>
  <c r="DK58" i="2"/>
  <c r="DG45" i="2"/>
  <c r="DR45" i="2" s="1"/>
  <c r="DM67" i="2"/>
  <c r="DK31" i="2"/>
  <c r="DW6" i="2"/>
  <c r="GF6" i="2" s="1"/>
  <c r="DN61" i="2"/>
  <c r="BA55" i="9"/>
  <c r="EX53" i="2" s="1"/>
  <c r="DS29" i="2"/>
  <c r="BA58" i="9"/>
  <c r="EX58" i="2" s="1"/>
  <c r="D66" i="11"/>
  <c r="F66" i="11" s="1"/>
  <c r="F65" i="11"/>
  <c r="DQ69" i="2" l="1"/>
  <c r="DT69" i="2"/>
  <c r="DO68" i="2"/>
  <c r="DT68" i="2"/>
  <c r="DR68" i="2"/>
  <c r="DQ68" i="2"/>
  <c r="DP68" i="2"/>
  <c r="DS68" i="2"/>
  <c r="GN68" i="2"/>
  <c r="DR44" i="2"/>
  <c r="DS53" i="2"/>
  <c r="DQ9" i="2"/>
  <c r="GQ33" i="2"/>
  <c r="GL68" i="2"/>
  <c r="DP67" i="2"/>
  <c r="C28" i="9"/>
  <c r="B28" i="9" s="1"/>
  <c r="BD25" i="9"/>
  <c r="FA25" i="2" s="1"/>
  <c r="DT57" i="2"/>
  <c r="DQ12" i="2"/>
  <c r="DO12" i="2"/>
  <c r="DT12" i="2"/>
  <c r="DR12" i="2"/>
  <c r="DS12" i="2"/>
  <c r="DO55" i="2"/>
  <c r="DT50" i="2"/>
  <c r="DR33" i="2"/>
  <c r="DT49" i="2"/>
  <c r="J74" i="10"/>
  <c r="DS63" i="2"/>
  <c r="DS40" i="2"/>
  <c r="DQ49" i="2"/>
  <c r="C23" i="9"/>
  <c r="B23" i="9" s="1"/>
  <c r="C59" i="9"/>
  <c r="M56" i="9"/>
  <c r="DQ50" i="2"/>
  <c r="GN50" i="2"/>
  <c r="GQ50" i="2"/>
  <c r="DR50" i="2"/>
  <c r="DO46" i="2"/>
  <c r="M9" i="9"/>
  <c r="DS55" i="2"/>
  <c r="DS50" i="2"/>
  <c r="GP46" i="2"/>
  <c r="GG42" i="2"/>
  <c r="GQ46" i="2"/>
  <c r="DR58" i="2"/>
  <c r="I71" i="10"/>
  <c r="I74" i="10" s="1"/>
  <c r="DQ65" i="2"/>
  <c r="GQ9" i="2"/>
  <c r="B18" i="9"/>
  <c r="GM14" i="2"/>
  <c r="DS65" i="2"/>
  <c r="GL58" i="2"/>
  <c r="GO58" i="2"/>
  <c r="DS26" i="2"/>
  <c r="B62" i="9"/>
  <c r="G65" i="10"/>
  <c r="G57" i="10"/>
  <c r="GO9" i="2"/>
  <c r="DP46" i="2"/>
  <c r="DP65" i="2"/>
  <c r="GQ26" i="2"/>
  <c r="DS58" i="2"/>
  <c r="DT46" i="2"/>
  <c r="DR26" i="2"/>
  <c r="DO49" i="2"/>
  <c r="BC33" i="9"/>
  <c r="EZ33" i="2" s="1"/>
  <c r="H71" i="10"/>
  <c r="H73" i="10" s="1"/>
  <c r="GJ49" i="2"/>
  <c r="GM9" i="2"/>
  <c r="GM26" i="2"/>
  <c r="BD58" i="9"/>
  <c r="FA58" i="2" s="1"/>
  <c r="DR9" i="2"/>
  <c r="GL46" i="2"/>
  <c r="GN58" i="2"/>
  <c r="DO65" i="2"/>
  <c r="DO9" i="2"/>
  <c r="DS9" i="2"/>
  <c r="DT58" i="2"/>
  <c r="GJ41" i="2"/>
  <c r="DR49" i="2"/>
  <c r="DT65" i="2"/>
  <c r="GL9" i="2"/>
  <c r="GP9" i="2"/>
  <c r="GN26" i="2"/>
  <c r="DP9" i="2"/>
  <c r="DT9" i="2"/>
  <c r="BC14" i="9"/>
  <c r="EZ14" i="2" s="1"/>
  <c r="DP58" i="2"/>
  <c r="DQ46" i="2"/>
  <c r="DR46" i="2"/>
  <c r="GQ58" i="2"/>
  <c r="DP26" i="2"/>
  <c r="DP69" i="2"/>
  <c r="DQ20" i="2"/>
  <c r="DT20" i="2"/>
  <c r="GL25" i="2"/>
  <c r="DS49" i="2"/>
  <c r="GN15" i="2"/>
  <c r="M26" i="9"/>
  <c r="BC6" i="9"/>
  <c r="EZ6" i="2" s="1"/>
  <c r="M58" i="9"/>
  <c r="M24" i="9"/>
  <c r="M45" i="9"/>
  <c r="M12" i="9"/>
  <c r="DH12" i="2"/>
  <c r="GP12" i="2" s="1"/>
  <c r="DO42" i="2"/>
  <c r="DT35" i="2"/>
  <c r="DH43" i="2"/>
  <c r="DS43" i="2" s="1"/>
  <c r="GO55" i="2"/>
  <c r="GF55" i="2"/>
  <c r="B50" i="9"/>
  <c r="DR55" i="2"/>
  <c r="DR51" i="2"/>
  <c r="DO69" i="2"/>
  <c r="DP20" i="2"/>
  <c r="GM46" i="2"/>
  <c r="GP41" i="2"/>
  <c r="GJ29" i="2"/>
  <c r="GO51" i="2"/>
  <c r="C49" i="9"/>
  <c r="B49" i="9" s="1"/>
  <c r="DQ37" i="2"/>
  <c r="GI54" i="2"/>
  <c r="DS69" i="2"/>
  <c r="DP60" i="2"/>
  <c r="DT18" i="2"/>
  <c r="DR59" i="2"/>
  <c r="GN46" i="2"/>
  <c r="B14" i="9"/>
  <c r="K70" i="10"/>
  <c r="DO6" i="2"/>
  <c r="B59" i="9"/>
  <c r="C60" i="9"/>
  <c r="B60" i="9" s="1"/>
  <c r="DR8" i="2"/>
  <c r="DQ8" i="2"/>
  <c r="DT11" i="2"/>
  <c r="DO11" i="2"/>
  <c r="DR11" i="2"/>
  <c r="DS11" i="2"/>
  <c r="DQ11" i="2"/>
  <c r="DP11" i="2"/>
  <c r="DQ48" i="2"/>
  <c r="DO48" i="2"/>
  <c r="DR48" i="2"/>
  <c r="DT48" i="2"/>
  <c r="DS48" i="2"/>
  <c r="DP48" i="2"/>
  <c r="L22" i="10"/>
  <c r="GH46" i="2"/>
  <c r="GQ30" i="2"/>
  <c r="GP69" i="2"/>
  <c r="C67" i="9"/>
  <c r="B67" i="9" s="1"/>
  <c r="GO48" i="2"/>
  <c r="GQ11" i="2"/>
  <c r="DQ18" i="2"/>
  <c r="DP18" i="2"/>
  <c r="GP60" i="2"/>
  <c r="DQ60" i="2"/>
  <c r="DS60" i="2"/>
  <c r="GN60" i="2"/>
  <c r="DO26" i="2"/>
  <c r="M53" i="9"/>
  <c r="BD6" i="9"/>
  <c r="FA6" i="2" s="1"/>
  <c r="DR40" i="2"/>
  <c r="DR20" i="2"/>
  <c r="C35" i="10" s="1"/>
  <c r="EA6" i="2"/>
  <c r="EK33" i="2"/>
  <c r="E59" i="9"/>
  <c r="GL8" i="2"/>
  <c r="DT34" i="2"/>
  <c r="C37" i="10" s="1"/>
  <c r="GP11" i="2"/>
  <c r="GL10" i="2"/>
  <c r="DO18" i="2"/>
  <c r="BD13" i="9"/>
  <c r="FA13" i="2" s="1"/>
  <c r="DP44" i="2"/>
  <c r="DS18" i="2"/>
  <c r="DP51" i="2"/>
  <c r="C36" i="9"/>
  <c r="B36" i="9" s="1"/>
  <c r="M42" i="9"/>
  <c r="DI45" i="2"/>
  <c r="DT8" i="2"/>
  <c r="C20" i="9"/>
  <c r="B20" i="9" s="1"/>
  <c r="M10" i="9"/>
  <c r="DT40" i="2"/>
  <c r="E23" i="9"/>
  <c r="DK24" i="2"/>
  <c r="GN48" i="2"/>
  <c r="BD12" i="9"/>
  <c r="FA12" i="2" s="1"/>
  <c r="DO44" i="2"/>
  <c r="DQ44" i="2"/>
  <c r="GQ59" i="2"/>
  <c r="GQ60" i="2"/>
  <c r="DP12" i="2"/>
  <c r="DS46" i="2"/>
  <c r="BC47" i="9"/>
  <c r="EZ47" i="2" s="1"/>
  <c r="C25" i="9"/>
  <c r="B25" i="9" s="1"/>
  <c r="DO58" i="2"/>
  <c r="GL60" i="2"/>
  <c r="M38" i="9"/>
  <c r="M23" i="9"/>
  <c r="GJ33" i="2"/>
  <c r="DS51" i="2"/>
  <c r="C45" i="9"/>
  <c r="B45" i="9" s="1"/>
  <c r="C46" i="9"/>
  <c r="GL11" i="2"/>
  <c r="GP29" i="2"/>
  <c r="DS24" i="2"/>
  <c r="DR60" i="2"/>
  <c r="DT60" i="2"/>
  <c r="DT16" i="2"/>
  <c r="DS61" i="2"/>
  <c r="DH39" i="2"/>
  <c r="DS39" i="2" s="1"/>
  <c r="DT64" i="2"/>
  <c r="DO40" i="2"/>
  <c r="GM48" i="2"/>
  <c r="DP40" i="2"/>
  <c r="DJ12" i="2"/>
  <c r="DQ59" i="2"/>
  <c r="DR69" i="2"/>
  <c r="C29" i="9"/>
  <c r="C30" i="9" s="1"/>
  <c r="B30" i="9" s="1"/>
  <c r="GN55" i="2"/>
  <c r="BD14" i="9"/>
  <c r="FA14" i="2" s="1"/>
  <c r="DO60" i="2"/>
  <c r="GM60" i="2"/>
  <c r="GG48" i="2"/>
  <c r="GM11" i="2"/>
  <c r="GO8" i="2"/>
  <c r="C24" i="9"/>
  <c r="B24" i="9" s="1"/>
  <c r="GJ6" i="2"/>
  <c r="C8" i="9"/>
  <c r="B8" i="9" s="1"/>
  <c r="B7" i="9"/>
  <c r="GS26" i="2"/>
  <c r="J73" i="10"/>
  <c r="GP54" i="2"/>
  <c r="H21" i="10"/>
  <c r="G76" i="10"/>
  <c r="G77" i="10" s="1"/>
  <c r="BD47" i="9"/>
  <c r="FA47" i="2" s="1"/>
  <c r="C43" i="9"/>
  <c r="B43" i="9" s="1"/>
  <c r="GI25" i="2"/>
  <c r="DS28" i="2"/>
  <c r="GI27" i="2"/>
  <c r="GG60" i="2"/>
  <c r="DR63" i="2"/>
  <c r="GH60" i="2"/>
  <c r="GO41" i="2"/>
  <c r="G72" i="10"/>
  <c r="F74" i="10"/>
  <c r="F72" i="10"/>
  <c r="H72" i="10"/>
  <c r="F73" i="10"/>
  <c r="B51" i="9"/>
  <c r="C52" i="9"/>
  <c r="C53" i="9" s="1"/>
  <c r="DR13" i="2"/>
  <c r="DS13" i="2"/>
  <c r="DQ13" i="2"/>
  <c r="DT13" i="2"/>
  <c r="DO13" i="2"/>
  <c r="GF13" i="2" s="1"/>
  <c r="DP13" i="2"/>
  <c r="GG13" i="2" s="1"/>
  <c r="GN27" i="2"/>
  <c r="BC35" i="9"/>
  <c r="EZ41" i="2" s="1"/>
  <c r="DT61" i="2"/>
  <c r="GL15" i="2"/>
  <c r="DQ61" i="2"/>
  <c r="DT24" i="2"/>
  <c r="GI6" i="2"/>
  <c r="DP61" i="2"/>
  <c r="DQ24" i="2"/>
  <c r="I77" i="10"/>
  <c r="J72" i="10"/>
  <c r="GO13" i="2"/>
  <c r="GM30" i="2"/>
  <c r="GN13" i="2"/>
  <c r="GL13" i="2"/>
  <c r="D21" i="10"/>
  <c r="K75" i="10"/>
  <c r="G56" i="10"/>
  <c r="E59" i="10"/>
  <c r="DR24" i="2"/>
  <c r="DP55" i="2"/>
  <c r="DO24" i="2"/>
  <c r="G73" i="10"/>
  <c r="GM15" i="2"/>
  <c r="GI55" i="2"/>
  <c r="DS8" i="2"/>
  <c r="GG28" i="2"/>
  <c r="GT26" i="2"/>
  <c r="GS46" i="2"/>
  <c r="J77" i="10"/>
  <c r="GJ58" i="2"/>
  <c r="GH15" i="2"/>
  <c r="GQ15" i="2"/>
  <c r="K72" i="10"/>
  <c r="DR42" i="2"/>
  <c r="GN33" i="2"/>
  <c r="F77" i="10"/>
  <c r="BC34" i="9"/>
  <c r="EZ42" i="2" s="1"/>
  <c r="GO14" i="2"/>
  <c r="GN12" i="2"/>
  <c r="BD56" i="9"/>
  <c r="FA56" i="2" s="1"/>
  <c r="GG56" i="2"/>
  <c r="GP55" i="2"/>
  <c r="DO25" i="2"/>
  <c r="DR10" i="2"/>
  <c r="GL33" i="2"/>
  <c r="GF25" i="2"/>
  <c r="GH25" i="2"/>
  <c r="GH6" i="2"/>
  <c r="FR51" i="2"/>
  <c r="FK51" i="2"/>
  <c r="DF53" i="2"/>
  <c r="HB53" i="2" s="1"/>
  <c r="DD53" i="2"/>
  <c r="GZ53" i="2" s="1"/>
  <c r="DC53" i="2"/>
  <c r="GY53" i="2" s="1"/>
  <c r="DF52" i="2"/>
  <c r="HB52" i="2" s="1"/>
  <c r="DD52" i="2"/>
  <c r="GZ52" i="2" s="1"/>
  <c r="DC52" i="2"/>
  <c r="GY52" i="2" s="1"/>
  <c r="DF50" i="2"/>
  <c r="HB50" i="2" s="1"/>
  <c r="DD50" i="2"/>
  <c r="GZ50" i="2" s="1"/>
  <c r="DC50" i="2"/>
  <c r="GY50" i="2" s="1"/>
  <c r="DF49" i="2"/>
  <c r="HB49" i="2" s="1"/>
  <c r="DD49" i="2"/>
  <c r="GZ49" i="2" s="1"/>
  <c r="H21" i="3" s="1"/>
  <c r="DC49" i="2"/>
  <c r="GY49" i="2" s="1"/>
  <c r="DF48" i="2"/>
  <c r="HB48" i="2" s="1"/>
  <c r="DE48" i="2"/>
  <c r="HA48" i="2" s="1"/>
  <c r="DD48" i="2"/>
  <c r="GZ48" i="2" s="1"/>
  <c r="DC48" i="2"/>
  <c r="GY48" i="2" s="1"/>
  <c r="DU48" i="2"/>
  <c r="DU49" i="2"/>
  <c r="DR57" i="2"/>
  <c r="GQ10" i="2"/>
  <c r="DQ29" i="2"/>
  <c r="DQ36" i="2"/>
  <c r="BC15" i="9"/>
  <c r="EZ15" i="2" s="1"/>
  <c r="DQ63" i="2"/>
  <c r="B40" i="9"/>
  <c r="DR43" i="2"/>
  <c r="DS6" i="2"/>
  <c r="BC13" i="9"/>
  <c r="EZ13" i="2" s="1"/>
  <c r="GN25" i="2"/>
  <c r="DS10" i="2"/>
  <c r="DR25" i="2"/>
  <c r="GQ55" i="2"/>
  <c r="DS25" i="2"/>
  <c r="DV42" i="2"/>
  <c r="GF42" i="2" s="1"/>
  <c r="GF12" i="2"/>
  <c r="DW47" i="2"/>
  <c r="EG56" i="2"/>
  <c r="DP33" i="2"/>
  <c r="GG33" i="2" s="1"/>
  <c r="DQ28" i="2"/>
  <c r="DP42" i="2"/>
  <c r="GG15" i="2"/>
  <c r="DT36" i="2"/>
  <c r="DP8" i="2"/>
  <c r="DR67" i="2"/>
  <c r="BD57" i="9"/>
  <c r="FA57" i="2" s="1"/>
  <c r="DP19" i="2"/>
  <c r="DO33" i="2"/>
  <c r="GS33" i="2" s="1"/>
  <c r="GL6" i="2"/>
  <c r="GN42" i="2"/>
  <c r="GL12" i="2"/>
  <c r="GS12" i="2" s="1"/>
  <c r="DO19" i="2"/>
  <c r="DP25" i="2"/>
  <c r="BC49" i="9"/>
  <c r="EZ55" i="2" s="1"/>
  <c r="GG51" i="2"/>
  <c r="GN8" i="2"/>
  <c r="GN10" i="2"/>
  <c r="GQ28" i="2"/>
  <c r="GM28" i="2"/>
  <c r="GP49" i="2"/>
  <c r="DQ53" i="2"/>
  <c r="DS33" i="2"/>
  <c r="DP36" i="2"/>
  <c r="DP28" i="2"/>
  <c r="DO36" i="2"/>
  <c r="DO64" i="2"/>
  <c r="DS37" i="2"/>
  <c r="DQ67" i="2"/>
  <c r="GM25" i="2"/>
  <c r="DT25" i="2"/>
  <c r="BD46" i="9"/>
  <c r="FA46" i="2" s="1"/>
  <c r="GN41" i="2"/>
  <c r="GO59" i="2"/>
  <c r="BD28" i="9"/>
  <c r="FA28" i="2" s="1"/>
  <c r="GQ25" i="2"/>
  <c r="GI41" i="2"/>
  <c r="H76" i="10"/>
  <c r="H77" i="10" s="1"/>
  <c r="GM42" i="2"/>
  <c r="DQ33" i="2"/>
  <c r="GH33" i="2" s="1"/>
  <c r="DR36" i="2"/>
  <c r="DR28" i="2"/>
  <c r="DP64" i="2"/>
  <c r="DT67" i="2"/>
  <c r="DO37" i="2"/>
  <c r="DO59" i="2"/>
  <c r="DS59" i="2"/>
  <c r="GJ59" i="2" s="1"/>
  <c r="DO10" i="2"/>
  <c r="GS10" i="2" s="1"/>
  <c r="BD34" i="9"/>
  <c r="FA42" i="2" s="1"/>
  <c r="GK33" i="2"/>
  <c r="DQ19" i="2"/>
  <c r="DT19" i="2"/>
  <c r="DQ57" i="2"/>
  <c r="C34" i="10" s="1"/>
  <c r="BC56" i="9"/>
  <c r="EZ56" i="2" s="1"/>
  <c r="DQ25" i="2"/>
  <c r="GQ6" i="2"/>
  <c r="GP59" i="2"/>
  <c r="GQ13" i="2"/>
  <c r="DR29" i="2"/>
  <c r="GM8" i="2"/>
  <c r="GQ49" i="2"/>
  <c r="GM33" i="2"/>
  <c r="DT28" i="2"/>
  <c r="DT63" i="2"/>
  <c r="DO8" i="2"/>
  <c r="DR6" i="2"/>
  <c r="DR37" i="2"/>
  <c r="BC12" i="9"/>
  <c r="EZ12" i="2" s="1"/>
  <c r="DT10" i="2"/>
  <c r="GO25" i="2"/>
  <c r="DT59" i="2"/>
  <c r="DQ10" i="2"/>
  <c r="GK6" i="2"/>
  <c r="DP10" i="2"/>
  <c r="DP29" i="2"/>
  <c r="DQ6" i="2"/>
  <c r="DO57" i="2"/>
  <c r="DQ64" i="2"/>
  <c r="DP59" i="2"/>
  <c r="DS57" i="2"/>
  <c r="GP25" i="2"/>
  <c r="GJ46" i="2"/>
  <c r="GM10" i="2"/>
  <c r="GQ8" i="2"/>
  <c r="BC58" i="9"/>
  <c r="EZ58" i="2" s="1"/>
  <c r="C26" i="9"/>
  <c r="B26" i="9" s="1"/>
  <c r="DT6" i="2"/>
  <c r="DT37" i="2"/>
  <c r="GM6" i="2"/>
  <c r="DP6" i="2"/>
  <c r="GG6" i="2" s="1"/>
  <c r="GL55" i="2"/>
  <c r="GS55" i="2" s="1"/>
  <c r="BC57" i="9"/>
  <c r="EZ57" i="2" s="1"/>
  <c r="DP57" i="2"/>
  <c r="BC25" i="9"/>
  <c r="EZ25" i="2" s="1"/>
  <c r="GN6" i="2"/>
  <c r="GF33" i="2"/>
  <c r="GJ25" i="2"/>
  <c r="GI57" i="2"/>
  <c r="GO57" i="2"/>
  <c r="C9" i="9"/>
  <c r="GQ14" i="2"/>
  <c r="GO46" i="2"/>
  <c r="GI46" i="2"/>
  <c r="GI14" i="2"/>
  <c r="GP14" i="2"/>
  <c r="GJ14" i="2"/>
  <c r="K27" i="3"/>
  <c r="K21" i="3"/>
  <c r="DP7" i="2"/>
  <c r="DS7" i="2"/>
  <c r="DO7" i="2"/>
  <c r="DR7" i="2"/>
  <c r="DT7" i="2"/>
  <c r="DQ7" i="2"/>
  <c r="GM56" i="2"/>
  <c r="GH42" i="2"/>
  <c r="DP56" i="2"/>
  <c r="DT56" i="2"/>
  <c r="DS56" i="2"/>
  <c r="DR56" i="2"/>
  <c r="DO56" i="2"/>
  <c r="DQ56" i="2"/>
  <c r="DS32" i="2"/>
  <c r="DT32" i="2"/>
  <c r="DP32" i="2"/>
  <c r="DR32" i="2"/>
  <c r="DO32" i="2"/>
  <c r="GI33" i="2"/>
  <c r="GI12" i="2"/>
  <c r="BD59" i="9"/>
  <c r="FA59" i="2" s="1"/>
  <c r="GQ56" i="2"/>
  <c r="GN7" i="2"/>
  <c r="BC28" i="9"/>
  <c r="EZ28" i="2" s="1"/>
  <c r="GQ7" i="2"/>
  <c r="DT53" i="2"/>
  <c r="DT33" i="2"/>
  <c r="GI58" i="2"/>
  <c r="BD15" i="9"/>
  <c r="FA15" i="2" s="1"/>
  <c r="GK15" i="2" s="1"/>
  <c r="GL7" i="2"/>
  <c r="GM7" i="2"/>
  <c r="DW28" i="2"/>
  <c r="GL28" i="2" s="1"/>
  <c r="BC27" i="9"/>
  <c r="EZ27" i="2" s="1"/>
  <c r="GO33" i="2"/>
  <c r="GV33" i="2" s="1"/>
  <c r="DO61" i="2"/>
  <c r="GJ54" i="2"/>
  <c r="GG46" i="2"/>
  <c r="BC26" i="9"/>
  <c r="EZ26" i="2" s="1"/>
  <c r="GH9" i="2"/>
  <c r="GO7" i="2"/>
  <c r="GG8" i="2"/>
  <c r="GH26" i="2"/>
  <c r="DQ32" i="2"/>
  <c r="GJ12" i="2"/>
  <c r="K21" i="10"/>
  <c r="GH12" i="2"/>
  <c r="GP33" i="2"/>
  <c r="DR61" i="2"/>
  <c r="GP6" i="2"/>
  <c r="GI59" i="2"/>
  <c r="GQ57" i="2"/>
  <c r="CE53" i="9"/>
  <c r="GB51" i="2" s="1"/>
  <c r="K76" i="10"/>
  <c r="D21" i="3"/>
  <c r="K71" i="10"/>
  <c r="GS13" i="2"/>
  <c r="AW53" i="9"/>
  <c r="ET51" i="2" s="1"/>
  <c r="AS65" i="9"/>
  <c r="EP65" i="2" s="1"/>
  <c r="GP65" i="2" s="1"/>
  <c r="BD10" i="9"/>
  <c r="FA10" i="2" s="1"/>
  <c r="GL29" i="2"/>
  <c r="BC31" i="9"/>
  <c r="EZ31" i="2" s="1"/>
  <c r="AL65" i="9"/>
  <c r="EI65" i="2" s="1"/>
  <c r="B29" i="9"/>
  <c r="GT9" i="2"/>
  <c r="BD29" i="9"/>
  <c r="FA29" i="2" s="1"/>
  <c r="GG11" i="2"/>
  <c r="GF11" i="2"/>
  <c r="AK55" i="9"/>
  <c r="EH53" i="2" s="1"/>
  <c r="AT54" i="9"/>
  <c r="EQ52" i="2" s="1"/>
  <c r="AR51" i="9"/>
  <c r="EO49" i="2" s="1"/>
  <c r="AD65" i="9"/>
  <c r="EA65" i="2" s="1"/>
  <c r="GM65" i="2" s="1"/>
  <c r="AX63" i="9"/>
  <c r="EU62" i="2" s="1"/>
  <c r="AR66" i="9"/>
  <c r="EO66" i="2" s="1"/>
  <c r="M27" i="9"/>
  <c r="C68" i="9"/>
  <c r="B68" i="9" s="1"/>
  <c r="BD26" i="9"/>
  <c r="FA26" i="2" s="1"/>
  <c r="GO27" i="2"/>
  <c r="AN55" i="9"/>
  <c r="EK53" i="2" s="1"/>
  <c r="GH10" i="2"/>
  <c r="GK58" i="2"/>
  <c r="EL30" i="2"/>
  <c r="BD30" i="9"/>
  <c r="FA30" i="2" s="1"/>
  <c r="EQ27" i="2"/>
  <c r="GP27" i="2" s="1"/>
  <c r="BD27" i="9"/>
  <c r="FA27" i="2" s="1"/>
  <c r="EA29" i="2"/>
  <c r="GG29" i="2" s="1"/>
  <c r="BC29" i="9"/>
  <c r="EZ29" i="2" s="1"/>
  <c r="I72" i="10"/>
  <c r="AL55" i="9"/>
  <c r="EI53" i="2" s="1"/>
  <c r="AQ55" i="9"/>
  <c r="EN53" i="2" s="1"/>
  <c r="AC55" i="9"/>
  <c r="DZ53" i="2" s="1"/>
  <c r="AW55" i="9"/>
  <c r="ET53" i="2" s="1"/>
  <c r="BB55" i="9"/>
  <c r="EY53" i="2" s="1"/>
  <c r="AM55" i="9"/>
  <c r="EJ53" i="2" s="1"/>
  <c r="DW26" i="2"/>
  <c r="GF26" i="2" s="1"/>
  <c r="GH8" i="2"/>
  <c r="DW8" i="2"/>
  <c r="GF8" i="2" s="1"/>
  <c r="BD8" i="9"/>
  <c r="FA8" i="2" s="1"/>
  <c r="GO60" i="2"/>
  <c r="GI60" i="2"/>
  <c r="EF30" i="2"/>
  <c r="GN30" i="2" s="1"/>
  <c r="BC30" i="9"/>
  <c r="EZ30" i="2" s="1"/>
  <c r="GI26" i="2"/>
  <c r="GH27" i="2"/>
  <c r="DV31" i="2"/>
  <c r="GF31" i="2" s="1"/>
  <c r="GJ11" i="2"/>
  <c r="BD31" i="9"/>
  <c r="FA31" i="2" s="1"/>
  <c r="AE65" i="9"/>
  <c r="EB65" i="2" s="1"/>
  <c r="AO50" i="9"/>
  <c r="EL48" i="2" s="1"/>
  <c r="GI48" i="2" s="1"/>
  <c r="BB67" i="9"/>
  <c r="EY67" i="2" s="1"/>
  <c r="AS55" i="9"/>
  <c r="EP53" i="2" s="1"/>
  <c r="AK54" i="9"/>
  <c r="EH52" i="2" s="1"/>
  <c r="AC52" i="9"/>
  <c r="DZ50" i="2" s="1"/>
  <c r="AZ55" i="9"/>
  <c r="EW53" i="2" s="1"/>
  <c r="AY51" i="9"/>
  <c r="EV49" i="2" s="1"/>
  <c r="BA54" i="9"/>
  <c r="EX52" i="2" s="1"/>
  <c r="BA51" i="9"/>
  <c r="EX49" i="2" s="1"/>
  <c r="AY50" i="9"/>
  <c r="EV48" i="2" s="1"/>
  <c r="BA50" i="9"/>
  <c r="EX48" i="2" s="1"/>
  <c r="AY54" i="9"/>
  <c r="EV52" i="2" s="1"/>
  <c r="AE55" i="9"/>
  <c r="EB53" i="2" s="1"/>
  <c r="AA51" i="9"/>
  <c r="DX49" i="2" s="1"/>
  <c r="AX53" i="9"/>
  <c r="EU51" i="2" s="1"/>
  <c r="GQ51" i="2" s="1"/>
  <c r="AV49" i="9"/>
  <c r="ES55" i="2" s="1"/>
  <c r="Y53" i="9"/>
  <c r="AU55" i="9"/>
  <c r="ER53" i="2" s="1"/>
  <c r="Y51" i="9"/>
  <c r="DV49" i="2" s="1"/>
  <c r="GL49" i="2" s="1"/>
  <c r="AB53" i="9"/>
  <c r="DY51" i="2" s="1"/>
  <c r="AJ54" i="9"/>
  <c r="AM51" i="9"/>
  <c r="EJ49" i="2" s="1"/>
  <c r="AQ49" i="9"/>
  <c r="EN55" i="2" s="1"/>
  <c r="AO55" i="9"/>
  <c r="EL53" i="2" s="1"/>
  <c r="AK51" i="9"/>
  <c r="EH49" i="2" s="1"/>
  <c r="AL53" i="9"/>
  <c r="EI51" i="2" s="1"/>
  <c r="AV54" i="9"/>
  <c r="ES52" i="2" s="1"/>
  <c r="AR50" i="9"/>
  <c r="EO48" i="2" s="1"/>
  <c r="AN52" i="9"/>
  <c r="EK50" i="2" s="1"/>
  <c r="GO50" i="2" s="1"/>
  <c r="AW49" i="9"/>
  <c r="ET55" i="2" s="1"/>
  <c r="AB54" i="9"/>
  <c r="DY52" i="2" s="1"/>
  <c r="AW51" i="9"/>
  <c r="ET49" i="2" s="1"/>
  <c r="AR49" i="9"/>
  <c r="EO55" i="2" s="1"/>
  <c r="AU50" i="9"/>
  <c r="ER48" i="2" s="1"/>
  <c r="AB50" i="9"/>
  <c r="DY48" i="2" s="1"/>
  <c r="AS50" i="9"/>
  <c r="EP48" i="2" s="1"/>
  <c r="GP48" i="2" s="1"/>
  <c r="AO54" i="9"/>
  <c r="EL52" i="2" s="1"/>
  <c r="AG52" i="9"/>
  <c r="ED50" i="2" s="1"/>
  <c r="AE52" i="9"/>
  <c r="EB50" i="2" s="1"/>
  <c r="AB68" i="9"/>
  <c r="DY68" i="2" s="1"/>
  <c r="AJ52" i="9"/>
  <c r="EG50" i="2" s="1"/>
  <c r="GH50" i="2" s="1"/>
  <c r="AB51" i="9"/>
  <c r="DY49" i="2" s="1"/>
  <c r="AL51" i="9"/>
  <c r="EI49" i="2" s="1"/>
  <c r="AG49" i="9"/>
  <c r="ED55" i="2" s="1"/>
  <c r="AO51" i="9"/>
  <c r="EL49" i="2" s="1"/>
  <c r="AQ50" i="9"/>
  <c r="EN48" i="2" s="1"/>
  <c r="AC50" i="9"/>
  <c r="DZ48" i="2" s="1"/>
  <c r="BB65" i="9"/>
  <c r="EY65" i="2" s="1"/>
  <c r="AJ62" i="9"/>
  <c r="EG61" i="2" s="1"/>
  <c r="AC68" i="9"/>
  <c r="DZ68" i="2" s="1"/>
  <c r="AO67" i="9"/>
  <c r="EL67" i="2" s="1"/>
  <c r="AD67" i="9"/>
  <c r="EA67" i="2" s="1"/>
  <c r="AK65" i="9"/>
  <c r="EH65" i="2" s="1"/>
  <c r="AY67" i="9"/>
  <c r="EV67" i="2" s="1"/>
  <c r="AT68" i="9"/>
  <c r="EQ68" i="2" s="1"/>
  <c r="GJ68" i="2" s="1"/>
  <c r="AE69" i="9"/>
  <c r="EB69" i="2" s="1"/>
  <c r="AF67" i="9"/>
  <c r="EC67" i="2" s="1"/>
  <c r="AN64" i="9"/>
  <c r="EK63" i="2" s="1"/>
  <c r="BA61" i="9"/>
  <c r="EX64" i="2" s="1"/>
  <c r="AL49" i="9"/>
  <c r="EI55" i="2" s="1"/>
  <c r="GF46" i="2"/>
  <c r="AQ61" i="9"/>
  <c r="EN64" i="2" s="1"/>
  <c r="GF58" i="2"/>
  <c r="BD35" i="9"/>
  <c r="FA41" i="2" s="1"/>
  <c r="GK41" i="2" s="1"/>
  <c r="GH68" i="2"/>
  <c r="AF53" i="9"/>
  <c r="EC51" i="2" s="1"/>
  <c r="AA54" i="9"/>
  <c r="DX52" i="2" s="1"/>
  <c r="BC60" i="9"/>
  <c r="EZ60" i="2" s="1"/>
  <c r="AH50" i="9"/>
  <c r="EE48" i="2" s="1"/>
  <c r="Z55" i="9"/>
  <c r="AZ50" i="9"/>
  <c r="EW48" i="2" s="1"/>
  <c r="BB54" i="9"/>
  <c r="EY52" i="2" s="1"/>
  <c r="BA53" i="9"/>
  <c r="EX51" i="2" s="1"/>
  <c r="BA49" i="9"/>
  <c r="EX55" i="2" s="1"/>
  <c r="AZ52" i="9"/>
  <c r="EW50" i="2" s="1"/>
  <c r="AY52" i="9"/>
  <c r="EV50" i="2" s="1"/>
  <c r="AX50" i="9"/>
  <c r="EU48" i="2" s="1"/>
  <c r="GQ48" i="2" s="1"/>
  <c r="AH53" i="9"/>
  <c r="EE51" i="2" s="1"/>
  <c r="AL50" i="9"/>
  <c r="EI48" i="2" s="1"/>
  <c r="AH52" i="9"/>
  <c r="EE50" i="2" s="1"/>
  <c r="AY53" i="9"/>
  <c r="EV51" i="2" s="1"/>
  <c r="Z53" i="9"/>
  <c r="DW51" i="2" s="1"/>
  <c r="AI53" i="9"/>
  <c r="EF51" i="2" s="1"/>
  <c r="GN51" i="2" s="1"/>
  <c r="AJ50" i="9"/>
  <c r="EG48" i="2" s="1"/>
  <c r="GH48" i="2" s="1"/>
  <c r="AF52" i="9"/>
  <c r="EC50" i="2" s="1"/>
  <c r="AC53" i="9"/>
  <c r="DZ51" i="2" s="1"/>
  <c r="Y55" i="9"/>
  <c r="DV53" i="2" s="1"/>
  <c r="AT52" i="9"/>
  <c r="EQ50" i="2" s="1"/>
  <c r="GJ50" i="2" s="1"/>
  <c r="AG53" i="9"/>
  <c r="ED51" i="2" s="1"/>
  <c r="AV50" i="9"/>
  <c r="ES48" i="2" s="1"/>
  <c r="AR52" i="9"/>
  <c r="EO50" i="2" s="1"/>
  <c r="AH49" i="9"/>
  <c r="EE55" i="2" s="1"/>
  <c r="AD54" i="9"/>
  <c r="EA52" i="2" s="1"/>
  <c r="Z50" i="9"/>
  <c r="DW48" i="2" s="1"/>
  <c r="AA53" i="9"/>
  <c r="DX51" i="2" s="1"/>
  <c r="AB49" i="9"/>
  <c r="DY55" i="2" s="1"/>
  <c r="AI55" i="9"/>
  <c r="EF53" i="2" s="1"/>
  <c r="AE51" i="9"/>
  <c r="EB49" i="2" s="1"/>
  <c r="AJ55" i="9"/>
  <c r="EG53" i="2" s="1"/>
  <c r="Y52" i="9"/>
  <c r="DV50" i="2" s="1"/>
  <c r="GF50" i="2" s="1"/>
  <c r="AG54" i="9"/>
  <c r="ED52" i="2" s="1"/>
  <c r="AP52" i="9"/>
  <c r="EM50" i="2" s="1"/>
  <c r="AH51" i="9"/>
  <c r="EE49" i="2" s="1"/>
  <c r="AD55" i="9"/>
  <c r="EA53" i="2" s="1"/>
  <c r="AP51" i="9"/>
  <c r="EM49" i="2" s="1"/>
  <c r="AY68" i="9"/>
  <c r="EV68" i="2" s="1"/>
  <c r="Y54" i="9"/>
  <c r="DV52" i="2" s="1"/>
  <c r="GL52" i="2" s="1"/>
  <c r="AS53" i="9"/>
  <c r="EP51" i="2" s="1"/>
  <c r="GP51" i="2" s="1"/>
  <c r="AK52" i="9"/>
  <c r="EH50" i="2" s="1"/>
  <c r="AG50" i="9"/>
  <c r="ED48" i="2" s="1"/>
  <c r="AF51" i="9"/>
  <c r="EC49" i="2" s="1"/>
  <c r="AE68" i="9"/>
  <c r="EB68" i="2" s="1"/>
  <c r="AQ65" i="9"/>
  <c r="EN65" i="2" s="1"/>
  <c r="AI65" i="9"/>
  <c r="EF65" i="2" s="1"/>
  <c r="BB63" i="9"/>
  <c r="EY62" i="2" s="1"/>
  <c r="AU63" i="9"/>
  <c r="ER62" i="2" s="1"/>
  <c r="AD68" i="9"/>
  <c r="EA68" i="2" s="1"/>
  <c r="GM68" i="2" s="1"/>
  <c r="AI63" i="9"/>
  <c r="EF62" i="2" s="1"/>
  <c r="AQ69" i="9"/>
  <c r="EN69" i="2" s="1"/>
  <c r="AM64" i="9"/>
  <c r="EJ63" i="2" s="1"/>
  <c r="AT66" i="9"/>
  <c r="EQ66" i="2" s="1"/>
  <c r="AA64" i="9"/>
  <c r="DX63" i="2" s="1"/>
  <c r="AC66" i="9"/>
  <c r="DZ66" i="2" s="1"/>
  <c r="G74" i="10"/>
  <c r="AD62" i="9"/>
  <c r="EA61" i="2" s="1"/>
  <c r="GM61" i="2" s="1"/>
  <c r="B52" i="9"/>
  <c r="GH54" i="2"/>
  <c r="EF49" i="2"/>
  <c r="GQ42" i="2"/>
  <c r="GM57" i="2"/>
  <c r="GG12" i="2"/>
  <c r="GI42" i="2"/>
  <c r="GO42" i="2"/>
  <c r="F85" i="11"/>
  <c r="D86" i="11"/>
  <c r="F86" i="11" s="1"/>
  <c r="GJ13" i="2"/>
  <c r="GP13" i="2"/>
  <c r="GG57" i="2"/>
  <c r="GL42" i="2"/>
  <c r="GM13" i="2"/>
  <c r="D56" i="12"/>
  <c r="F56" i="12" s="1"/>
  <c r="F55" i="12"/>
  <c r="GP56" i="2"/>
  <c r="GJ56" i="2"/>
  <c r="GI56" i="2"/>
  <c r="GO56" i="2"/>
  <c r="GL56" i="2"/>
  <c r="GF56" i="2"/>
  <c r="D41" i="18"/>
  <c r="F41" i="18" s="1"/>
  <c r="F40" i="18"/>
  <c r="GF14" i="2"/>
  <c r="GL14" i="2"/>
  <c r="GH14" i="2"/>
  <c r="GN14" i="2"/>
  <c r="GN56" i="2"/>
  <c r="GH56" i="2"/>
  <c r="AH60" i="9"/>
  <c r="EE60" i="2" s="1"/>
  <c r="Y61" i="9"/>
  <c r="DV64" i="2" s="1"/>
  <c r="AM60" i="9"/>
  <c r="EJ60" i="2" s="1"/>
  <c r="AZ61" i="9"/>
  <c r="EW64" i="2" s="1"/>
  <c r="AX61" i="9"/>
  <c r="EU64" i="2" s="1"/>
  <c r="AO61" i="9"/>
  <c r="EL64" i="2" s="1"/>
  <c r="AK61" i="9"/>
  <c r="EH64" i="2" s="1"/>
  <c r="AC60" i="9"/>
  <c r="DZ60" i="2" s="1"/>
  <c r="AS61" i="9"/>
  <c r="EP64" i="2" s="1"/>
  <c r="AP61" i="9"/>
  <c r="EM64" i="2" s="1"/>
  <c r="Z61" i="9"/>
  <c r="AA61" i="9"/>
  <c r="DX64" i="2" s="1"/>
  <c r="AY61" i="9"/>
  <c r="EV64" i="2" s="1"/>
  <c r="AF61" i="9"/>
  <c r="EC64" i="2" s="1"/>
  <c r="AN61" i="9"/>
  <c r="EK64" i="2" s="1"/>
  <c r="AI61" i="9"/>
  <c r="EF64" i="2" s="1"/>
  <c r="AW60" i="9"/>
  <c r="ET60" i="2" s="1"/>
  <c r="AD61" i="9"/>
  <c r="AL61" i="9"/>
  <c r="EI64" i="2" s="1"/>
  <c r="AK64" i="9"/>
  <c r="EH63" i="2" s="1"/>
  <c r="AG61" i="9"/>
  <c r="ED64" i="2" s="1"/>
  <c r="AZ64" i="9"/>
  <c r="EW63" i="2" s="1"/>
  <c r="AT62" i="9"/>
  <c r="EQ61" i="2" s="1"/>
  <c r="AI62" i="9"/>
  <c r="EF61" i="2" s="1"/>
  <c r="GN61" i="2" s="1"/>
  <c r="AE61" i="9"/>
  <c r="EB64" i="2" s="1"/>
  <c r="BB60" i="9"/>
  <c r="EY60" i="2" s="1"/>
  <c r="AU61" i="9"/>
  <c r="ER64" i="2" s="1"/>
  <c r="AJ61" i="9"/>
  <c r="EG64" i="2" s="1"/>
  <c r="AR60" i="9"/>
  <c r="EO60" i="2" s="1"/>
  <c r="AT61" i="9"/>
  <c r="EQ64" i="2" s="1"/>
  <c r="F45" i="11"/>
  <c r="D46" i="11"/>
  <c r="F46" i="11" s="1"/>
  <c r="GI13" i="2"/>
  <c r="GH13" i="2"/>
  <c r="GP42" i="2"/>
  <c r="B15" i="9"/>
  <c r="C16" i="9"/>
  <c r="GL57" i="2"/>
  <c r="GH57" i="2"/>
  <c r="GN57" i="2"/>
  <c r="GJ42" i="2"/>
  <c r="GP57" i="2"/>
  <c r="GJ57" i="2"/>
  <c r="GF9" i="2"/>
  <c r="GF29" i="2"/>
  <c r="BD60" i="9"/>
  <c r="FA60" i="2" s="1"/>
  <c r="AI59" i="9"/>
  <c r="AQ53" i="9"/>
  <c r="EN51" i="2" s="1"/>
  <c r="AU52" i="9"/>
  <c r="ER50" i="2" s="1"/>
  <c r="AP53" i="9"/>
  <c r="EM51" i="2" s="1"/>
  <c r="AV51" i="9"/>
  <c r="ES49" i="2" s="1"/>
  <c r="AT53" i="9"/>
  <c r="EQ51" i="2" s="1"/>
  <c r="AA52" i="9"/>
  <c r="DX50" i="2" s="1"/>
  <c r="AI54" i="9"/>
  <c r="AU51" i="9"/>
  <c r="ER49" i="2" s="1"/>
  <c r="AQ52" i="9"/>
  <c r="EN50" i="2" s="1"/>
  <c r="AC54" i="9"/>
  <c r="DZ52" i="2" s="1"/>
  <c r="AA55" i="9"/>
  <c r="DX53" i="2" s="1"/>
  <c r="GF57" i="2"/>
  <c r="C32" i="10"/>
  <c r="BB43" i="9"/>
  <c r="EY43" i="2" s="1"/>
  <c r="AR63" i="9"/>
  <c r="EO62" i="2" s="1"/>
  <c r="Z64" i="9"/>
  <c r="DW63" i="2" s="1"/>
  <c r="AF62" i="9"/>
  <c r="EC61" i="2" s="1"/>
  <c r="AO66" i="9"/>
  <c r="EL66" i="2" s="1"/>
  <c r="Z67" i="9"/>
  <c r="DW67" i="2" s="1"/>
  <c r="AS62" i="9"/>
  <c r="EP61" i="2" s="1"/>
  <c r="AC64" i="9"/>
  <c r="DZ63" i="2" s="1"/>
  <c r="AH62" i="9"/>
  <c r="EE61" i="2" s="1"/>
  <c r="AV62" i="9"/>
  <c r="ES61" i="2" s="1"/>
  <c r="AT67" i="9"/>
  <c r="EQ67" i="2" s="1"/>
  <c r="BA65" i="9"/>
  <c r="EX65" i="2" s="1"/>
  <c r="AZ66" i="9"/>
  <c r="EW66" i="2" s="1"/>
  <c r="AF66" i="9"/>
  <c r="EC66" i="2" s="1"/>
  <c r="AR65" i="9"/>
  <c r="EO65" i="2" s="1"/>
  <c r="AU67" i="9"/>
  <c r="ER67" i="2" s="1"/>
  <c r="BB61" i="9"/>
  <c r="EY64" i="2" s="1"/>
  <c r="Z62" i="9"/>
  <c r="DW61" i="2" s="1"/>
  <c r="AM65" i="9"/>
  <c r="EJ65" i="2" s="1"/>
  <c r="AQ68" i="9"/>
  <c r="EN68" i="2" s="1"/>
  <c r="AV64" i="9"/>
  <c r="ES63" i="2" s="1"/>
  <c r="AD66" i="9"/>
  <c r="EA66" i="2" s="1"/>
  <c r="GM66" i="2" s="1"/>
  <c r="AN63" i="9"/>
  <c r="EK62" i="2" s="1"/>
  <c r="AG63" i="9"/>
  <c r="ED62" i="2" s="1"/>
  <c r="AN62" i="9"/>
  <c r="EK61" i="2" s="1"/>
  <c r="GO61" i="2" s="1"/>
  <c r="AY66" i="9"/>
  <c r="EV66" i="2" s="1"/>
  <c r="BA62" i="9"/>
  <c r="EX61" i="2" s="1"/>
  <c r="AH68" i="9"/>
  <c r="EE68" i="2" s="1"/>
  <c r="AR67" i="9"/>
  <c r="EO67" i="2" s="1"/>
  <c r="AT63" i="9"/>
  <c r="EQ62" i="2" s="1"/>
  <c r="AP68" i="9"/>
  <c r="EM68" i="2" s="1"/>
  <c r="AR64" i="9"/>
  <c r="EO63" i="2" s="1"/>
  <c r="Y66" i="9"/>
  <c r="DV66" i="2" s="1"/>
  <c r="GL66" i="2" s="1"/>
  <c r="AO69" i="9"/>
  <c r="EL69" i="2" s="1"/>
  <c r="Y69" i="9"/>
  <c r="DV69" i="2" s="1"/>
  <c r="GL69" i="2" s="1"/>
  <c r="GS69" i="2" s="1"/>
  <c r="AY63" i="9"/>
  <c r="EV62" i="2" s="1"/>
  <c r="AX64" i="9"/>
  <c r="EU63" i="2" s="1"/>
  <c r="AN66" i="9"/>
  <c r="EK66" i="2" s="1"/>
  <c r="GO66" i="2" s="1"/>
  <c r="AL62" i="9"/>
  <c r="EI61" i="2" s="1"/>
  <c r="AG66" i="9"/>
  <c r="ED66" i="2" s="1"/>
  <c r="AB66" i="9"/>
  <c r="DY66" i="2" s="1"/>
  <c r="AU68" i="9"/>
  <c r="ER68" i="2" s="1"/>
  <c r="Y62" i="9"/>
  <c r="AW65" i="9"/>
  <c r="ET65" i="2" s="1"/>
  <c r="AK63" i="9"/>
  <c r="EH62" i="2" s="1"/>
  <c r="BB62" i="9"/>
  <c r="EY61" i="2" s="1"/>
  <c r="AZ65" i="9"/>
  <c r="EW65" i="2" s="1"/>
  <c r="AL64" i="9"/>
  <c r="EI63" i="2" s="1"/>
  <c r="AR68" i="9"/>
  <c r="EO68" i="2" s="1"/>
  <c r="AW66" i="9"/>
  <c r="ET66" i="2" s="1"/>
  <c r="AK62" i="9"/>
  <c r="EH61" i="2" s="1"/>
  <c r="AA68" i="9"/>
  <c r="DX68" i="2" s="1"/>
  <c r="AH63" i="9"/>
  <c r="EE62" i="2" s="1"/>
  <c r="AQ64" i="9"/>
  <c r="EN63" i="2" s="1"/>
  <c r="AI64" i="9"/>
  <c r="EF63" i="2" s="1"/>
  <c r="AV68" i="9"/>
  <c r="ES68" i="2" s="1"/>
  <c r="BA64" i="9"/>
  <c r="EX63" i="2" s="1"/>
  <c r="AX62" i="9"/>
  <c r="EU61" i="2" s="1"/>
  <c r="GQ61" i="2" s="1"/>
  <c r="Y64" i="9"/>
  <c r="AB63" i="9"/>
  <c r="DY62" i="2" s="1"/>
  <c r="AS67" i="9"/>
  <c r="EP67" i="2" s="1"/>
  <c r="Y67" i="9"/>
  <c r="DV67" i="2" s="1"/>
  <c r="GS67" i="2" s="1"/>
  <c r="AH64" i="9"/>
  <c r="EE63" i="2" s="1"/>
  <c r="AT64" i="9"/>
  <c r="EQ63" i="2" s="1"/>
  <c r="AS64" i="9"/>
  <c r="EP63" i="2" s="1"/>
  <c r="AU64" i="9"/>
  <c r="ER63" i="2" s="1"/>
  <c r="AD64" i="9"/>
  <c r="EA63" i="2" s="1"/>
  <c r="AH66" i="9"/>
  <c r="EE66" i="2" s="1"/>
  <c r="Y65" i="9"/>
  <c r="DV65" i="2" s="1"/>
  <c r="GL65" i="2" s="1"/>
  <c r="AQ66" i="9"/>
  <c r="EN66" i="2" s="1"/>
  <c r="AV63" i="9"/>
  <c r="ES62" i="2" s="1"/>
  <c r="AJ66" i="9"/>
  <c r="EG66" i="2" s="1"/>
  <c r="AP63" i="9"/>
  <c r="EM62" i="2" s="1"/>
  <c r="BA66" i="9"/>
  <c r="EX66" i="2" s="1"/>
  <c r="AF65" i="9"/>
  <c r="EC65" i="2" s="1"/>
  <c r="AQ67" i="9"/>
  <c r="EN67" i="2" s="1"/>
  <c r="AO63" i="9"/>
  <c r="EL62" i="2" s="1"/>
  <c r="AP67" i="9"/>
  <c r="EM67" i="2" s="1"/>
  <c r="AS66" i="9"/>
  <c r="EP66" i="2" s="1"/>
  <c r="AU62" i="9"/>
  <c r="ER61" i="2" s="1"/>
  <c r="AV69" i="9"/>
  <c r="ES69" i="2" s="1"/>
  <c r="AZ68" i="9"/>
  <c r="EW68" i="2" s="1"/>
  <c r="AX66" i="9"/>
  <c r="EU66" i="2" s="1"/>
  <c r="GQ66" i="2" s="1"/>
  <c r="AX68" i="9"/>
  <c r="EU68" i="2" s="1"/>
  <c r="GQ68" i="2" s="1"/>
  <c r="AW69" i="9"/>
  <c r="ET69" i="2" s="1"/>
  <c r="AE62" i="9"/>
  <c r="EB61" i="2" s="1"/>
  <c r="AJ69" i="9"/>
  <c r="EG69" i="2" s="1"/>
  <c r="AB67" i="9"/>
  <c r="DY67" i="2" s="1"/>
  <c r="AO64" i="9"/>
  <c r="EL63" i="2" s="1"/>
  <c r="GO63" i="2" s="1"/>
  <c r="Y63" i="9"/>
  <c r="AZ67" i="9"/>
  <c r="EW67" i="2" s="1"/>
  <c r="BA67" i="9"/>
  <c r="EX67" i="2" s="1"/>
  <c r="AP65" i="9"/>
  <c r="EM65" i="2" s="1"/>
  <c r="AW67" i="9"/>
  <c r="ET67" i="2" s="1"/>
  <c r="AR62" i="9"/>
  <c r="EO61" i="2" s="1"/>
  <c r="AH61" i="9"/>
  <c r="EE64" i="2" s="1"/>
  <c r="AA67" i="9"/>
  <c r="DX67" i="2" s="1"/>
  <c r="AJ64" i="9"/>
  <c r="EG63" i="2" s="1"/>
  <c r="AA63" i="9"/>
  <c r="DX62" i="2" s="1"/>
  <c r="Z65" i="9"/>
  <c r="DW65" i="2" s="1"/>
  <c r="AX69" i="9"/>
  <c r="EU69" i="2" s="1"/>
  <c r="GQ69" i="2" s="1"/>
  <c r="AY69" i="9"/>
  <c r="EV69" i="2" s="1"/>
  <c r="BA69" i="9"/>
  <c r="EX69" i="2" s="1"/>
  <c r="AG67" i="9"/>
  <c r="ED67" i="2" s="1"/>
  <c r="AA69" i="9"/>
  <c r="DX69" i="2" s="1"/>
  <c r="AG64" i="9"/>
  <c r="ED63" i="2" s="1"/>
  <c r="AM66" i="9"/>
  <c r="EJ66" i="2" s="1"/>
  <c r="AT69" i="9"/>
  <c r="EQ69" i="2" s="1"/>
  <c r="Z66" i="9"/>
  <c r="DW66" i="2" s="1"/>
  <c r="AG65" i="9"/>
  <c r="ED65" i="2" s="1"/>
  <c r="AV67" i="9"/>
  <c r="ES67" i="2" s="1"/>
  <c r="AP66" i="9"/>
  <c r="EM66" i="2" s="1"/>
  <c r="BA68" i="9"/>
  <c r="EX68" i="2" s="1"/>
  <c r="BB66" i="9"/>
  <c r="EY66" i="2" s="1"/>
  <c r="BB68" i="9"/>
  <c r="EY68" i="2" s="1"/>
  <c r="BD48" i="9"/>
  <c r="FA54" i="2" s="1"/>
  <c r="BC7" i="9"/>
  <c r="EZ7" i="2" s="1"/>
  <c r="BC8" i="9"/>
  <c r="EZ8" i="2" s="1"/>
  <c r="BC11" i="9"/>
  <c r="EZ11" i="2" s="1"/>
  <c r="AR54" i="9"/>
  <c r="EO52" i="2" s="1"/>
  <c r="AS54" i="9"/>
  <c r="EP52" i="2" s="1"/>
  <c r="AD52" i="9"/>
  <c r="AM53" i="9"/>
  <c r="EJ51" i="2" s="1"/>
  <c r="AH69" i="9"/>
  <c r="EE69" i="2" s="1"/>
  <c r="AN68" i="9"/>
  <c r="EK68" i="2" s="1"/>
  <c r="GO68" i="2" s="1"/>
  <c r="AZ62" i="9"/>
  <c r="EW61" i="2" s="1"/>
  <c r="AB69" i="9"/>
  <c r="DY69" i="2" s="1"/>
  <c r="AC65" i="9"/>
  <c r="DZ65" i="2" s="1"/>
  <c r="AY65" i="9"/>
  <c r="EV65" i="2" s="1"/>
  <c r="Z63" i="9"/>
  <c r="DW62" i="2" s="1"/>
  <c r="AN65" i="9"/>
  <c r="EK65" i="2" s="1"/>
  <c r="GO65" i="2" s="1"/>
  <c r="AT65" i="9"/>
  <c r="EQ65" i="2" s="1"/>
  <c r="GJ65" i="2" s="1"/>
  <c r="AD63" i="9"/>
  <c r="EA62" i="2" s="1"/>
  <c r="AR61" i="9"/>
  <c r="EO64" i="2" s="1"/>
  <c r="AE64" i="9"/>
  <c r="EB63" i="2" s="1"/>
  <c r="AB62" i="9"/>
  <c r="DY61" i="2" s="1"/>
  <c r="BD9" i="9"/>
  <c r="FA9" i="2" s="1"/>
  <c r="AW63" i="9"/>
  <c r="ET62" i="2" s="1"/>
  <c r="AW64" i="9"/>
  <c r="ET63" i="2" s="1"/>
  <c r="EA64" i="2"/>
  <c r="GS57" i="2"/>
  <c r="AS63" i="9"/>
  <c r="EP62" i="2" s="1"/>
  <c r="GP62" i="2" s="1"/>
  <c r="EU53" i="2"/>
  <c r="GQ53" i="2" s="1"/>
  <c r="GJ31" i="2"/>
  <c r="GP31" i="2"/>
  <c r="AM17" i="9"/>
  <c r="EJ17" i="2" s="1"/>
  <c r="C31" i="9"/>
  <c r="B31" i="9" s="1"/>
  <c r="BC9" i="9"/>
  <c r="EZ9" i="2" s="1"/>
  <c r="GG10" i="2"/>
  <c r="BD11" i="9"/>
  <c r="FA11" i="2" s="1"/>
  <c r="GN9" i="2"/>
  <c r="GX9" i="2" s="1"/>
  <c r="GI7" i="2"/>
  <c r="GH58" i="2"/>
  <c r="AI20" i="9"/>
  <c r="EF20" i="2" s="1"/>
  <c r="GN20" i="2" s="1"/>
  <c r="GS29" i="2"/>
  <c r="AR17" i="9"/>
  <c r="EO17" i="2" s="1"/>
  <c r="GF10" i="2"/>
  <c r="GF28" i="2"/>
  <c r="BC10" i="9"/>
  <c r="EZ10" i="2" s="1"/>
  <c r="BD7" i="9"/>
  <c r="FA7" i="2" s="1"/>
  <c r="DO30" i="2"/>
  <c r="GF30" i="2" s="1"/>
  <c r="DP30" i="2"/>
  <c r="GG30" i="2" s="1"/>
  <c r="DQ30" i="2"/>
  <c r="DS30" i="2"/>
  <c r="GJ30" i="2" s="1"/>
  <c r="DR30" i="2"/>
  <c r="GI30" i="2" s="1"/>
  <c r="GG27" i="2"/>
  <c r="GM27" i="2"/>
  <c r="GF60" i="2"/>
  <c r="DP45" i="2"/>
  <c r="AY19" i="9"/>
  <c r="EV19" i="2" s="1"/>
  <c r="AL17" i="9"/>
  <c r="EI17" i="2" s="1"/>
  <c r="GM47" i="2"/>
  <c r="DO47" i="2"/>
  <c r="GF47" i="2" s="1"/>
  <c r="GP47" i="2"/>
  <c r="GN47" i="2"/>
  <c r="GQ47" i="2"/>
  <c r="DQ47" i="2"/>
  <c r="GH47" i="2" s="1"/>
  <c r="GO47" i="2"/>
  <c r="DR47" i="2"/>
  <c r="GI47" i="2" s="1"/>
  <c r="DP47" i="2"/>
  <c r="GG47" i="2" s="1"/>
  <c r="DT47" i="2"/>
  <c r="GL47" i="2"/>
  <c r="DS47" i="2"/>
  <c r="GJ47" i="2" s="1"/>
  <c r="AC19" i="9"/>
  <c r="DZ19" i="2" s="1"/>
  <c r="GG54" i="2"/>
  <c r="BC48" i="9"/>
  <c r="EZ54" i="2" s="1"/>
  <c r="GL30" i="2"/>
  <c r="GI9" i="2"/>
  <c r="GM58" i="2"/>
  <c r="GR58" i="2" s="1"/>
  <c r="DS45" i="2"/>
  <c r="DV48" i="2"/>
  <c r="B53" i="9"/>
  <c r="C54" i="9"/>
  <c r="DO14" i="2"/>
  <c r="DQ14" i="2"/>
  <c r="DT14" i="2"/>
  <c r="DR14" i="2"/>
  <c r="DS14" i="2"/>
  <c r="DP14" i="2"/>
  <c r="GO52" i="2"/>
  <c r="GI52" i="2"/>
  <c r="DP15" i="2"/>
  <c r="DS15" i="2"/>
  <c r="DQ15" i="2"/>
  <c r="DR15" i="2"/>
  <c r="DO15" i="2"/>
  <c r="GF15" i="2" s="1"/>
  <c r="DT15" i="2"/>
  <c r="GP10" i="2"/>
  <c r="GJ10" i="2"/>
  <c r="DP31" i="2"/>
  <c r="DS31" i="2"/>
  <c r="DO31" i="2"/>
  <c r="DQ31" i="2"/>
  <c r="DR31" i="2"/>
  <c r="DV54" i="2"/>
  <c r="DO45" i="2"/>
  <c r="GJ69" i="2"/>
  <c r="GK14" i="2"/>
  <c r="AQ20" i="9"/>
  <c r="EN20" i="2" s="1"/>
  <c r="DQ45" i="2"/>
  <c r="AH18" i="9"/>
  <c r="EE18" i="2" s="1"/>
  <c r="AE19" i="9"/>
  <c r="EB19" i="2" s="1"/>
  <c r="AY18" i="9"/>
  <c r="EV18" i="2" s="1"/>
  <c r="GG7" i="2"/>
  <c r="GN29" i="2"/>
  <c r="GI51" i="2"/>
  <c r="GH55" i="2"/>
  <c r="GM69" i="2"/>
  <c r="GG69" i="2"/>
  <c r="GN28" i="2"/>
  <c r="GH28" i="2"/>
  <c r="GP30" i="2"/>
  <c r="GG31" i="2"/>
  <c r="GM31" i="2"/>
  <c r="GM59" i="2"/>
  <c r="GG59" i="2"/>
  <c r="GP15" i="2"/>
  <c r="GJ15" i="2"/>
  <c r="AK23" i="9"/>
  <c r="EH23" i="2" s="1"/>
  <c r="AN20" i="9"/>
  <c r="EK20" i="2" s="1"/>
  <c r="AU23" i="9"/>
  <c r="ER23" i="2" s="1"/>
  <c r="Z24" i="9"/>
  <c r="AG20" i="9"/>
  <c r="ED20" i="2" s="1"/>
  <c r="AU20" i="9"/>
  <c r="ER20" i="2" s="1"/>
  <c r="AU24" i="9"/>
  <c r="ER24" i="2" s="1"/>
  <c r="GO28" i="2"/>
  <c r="GI28" i="2"/>
  <c r="GL59" i="2"/>
  <c r="GF59" i="2"/>
  <c r="GU10" i="2"/>
  <c r="GT10" i="2"/>
  <c r="AH20" i="9"/>
  <c r="EE20" i="2" s="1"/>
  <c r="AL22" i="9"/>
  <c r="EI22" i="2" s="1"/>
  <c r="AD22" i="9"/>
  <c r="EA22" i="2" s="1"/>
  <c r="AN23" i="9"/>
  <c r="EK23" i="2" s="1"/>
  <c r="BB24" i="9"/>
  <c r="EY24" i="2" s="1"/>
  <c r="AL19" i="9"/>
  <c r="EI19" i="2" s="1"/>
  <c r="AS21" i="9"/>
  <c r="EP21" i="2" s="1"/>
  <c r="DP22" i="2"/>
  <c r="DQ22" i="2"/>
  <c r="DS22" i="2"/>
  <c r="DT22" i="2"/>
  <c r="DO22" i="2"/>
  <c r="DR22" i="2"/>
  <c r="AX22" i="9"/>
  <c r="EU22" i="2" s="1"/>
  <c r="GH49" i="2"/>
  <c r="BD49" i="9"/>
  <c r="FA55" i="2" s="1"/>
  <c r="GK55" i="2" s="1"/>
  <c r="AF18" i="9"/>
  <c r="EC18" i="2" s="1"/>
  <c r="AI18" i="9"/>
  <c r="EF18" i="2" s="1"/>
  <c r="GN18" i="2" s="1"/>
  <c r="BB17" i="9"/>
  <c r="EY17" i="2" s="1"/>
  <c r="AF19" i="9"/>
  <c r="EC19" i="2" s="1"/>
  <c r="AU19" i="9"/>
  <c r="ER19" i="2" s="1"/>
  <c r="AJ18" i="9"/>
  <c r="EG18" i="2" s="1"/>
  <c r="Z18" i="9"/>
  <c r="DW18" i="2" s="1"/>
  <c r="AZ18" i="9"/>
  <c r="EW18" i="2" s="1"/>
  <c r="AE18" i="9"/>
  <c r="EB18" i="2" s="1"/>
  <c r="GK25" i="2"/>
  <c r="AG17" i="9"/>
  <c r="ED17" i="2" s="1"/>
  <c r="AS19" i="9"/>
  <c r="EP19" i="2" s="1"/>
  <c r="GP19" i="2" s="1"/>
  <c r="AO18" i="9"/>
  <c r="EL18" i="2" s="1"/>
  <c r="AG18" i="9"/>
  <c r="ED18" i="2" s="1"/>
  <c r="BB18" i="9"/>
  <c r="EY18" i="2" s="1"/>
  <c r="AI19" i="9"/>
  <c r="EF19" i="2" s="1"/>
  <c r="GN19" i="2" s="1"/>
  <c r="AR18" i="9"/>
  <c r="EO18" i="2" s="1"/>
  <c r="AX18" i="9"/>
  <c r="EU18" i="2" s="1"/>
  <c r="GQ18" i="2" s="1"/>
  <c r="GF7" i="2"/>
  <c r="GG9" i="2"/>
  <c r="GI8" i="2"/>
  <c r="GJ9" i="2"/>
  <c r="GQ29" i="2"/>
  <c r="GH41" i="2"/>
  <c r="GS6" i="2"/>
  <c r="GG58" i="2"/>
  <c r="GP68" i="2"/>
  <c r="GS49" i="2"/>
  <c r="GM49" i="2"/>
  <c r="GT49" i="2" s="1"/>
  <c r="GG49" i="2"/>
  <c r="GU26" i="2"/>
  <c r="GV26" i="2"/>
  <c r="GO11" i="2"/>
  <c r="GI11" i="2"/>
  <c r="GN11" i="2"/>
  <c r="GH11" i="2"/>
  <c r="GO30" i="2"/>
  <c r="GP26" i="2"/>
  <c r="GW26" i="2" s="1"/>
  <c r="GJ26" i="2"/>
  <c r="GN31" i="2"/>
  <c r="GH31" i="2"/>
  <c r="AE24" i="9"/>
  <c r="EB24" i="2" s="1"/>
  <c r="AM24" i="9"/>
  <c r="EJ24" i="2" s="1"/>
  <c r="Y23" i="9"/>
  <c r="DV23" i="2" s="1"/>
  <c r="AE20" i="9"/>
  <c r="EB20" i="2" s="1"/>
  <c r="AV20" i="9"/>
  <c r="ES20" i="2" s="1"/>
  <c r="AT21" i="9"/>
  <c r="EQ21" i="2" s="1"/>
  <c r="AM20" i="9"/>
  <c r="EJ20" i="2" s="1"/>
  <c r="BB19" i="9"/>
  <c r="EY19" i="2" s="1"/>
  <c r="GQ27" i="2"/>
  <c r="GH7" i="2"/>
  <c r="AB21" i="9"/>
  <c r="DY21" i="2" s="1"/>
  <c r="AK21" i="9"/>
  <c r="EH21" i="2" s="1"/>
  <c r="AC21" i="9"/>
  <c r="DZ21" i="2" s="1"/>
  <c r="AA23" i="9"/>
  <c r="DX23" i="2" s="1"/>
  <c r="AY23" i="9"/>
  <c r="EV23" i="2" s="1"/>
  <c r="AE22" i="9"/>
  <c r="EB22" i="2" s="1"/>
  <c r="AJ22" i="9"/>
  <c r="EG22" i="2" s="1"/>
  <c r="BB23" i="9"/>
  <c r="EY23" i="2" s="1"/>
  <c r="AE21" i="9"/>
  <c r="EB21" i="2" s="1"/>
  <c r="GH29" i="2"/>
  <c r="AY22" i="9"/>
  <c r="EV22" i="2" s="1"/>
  <c r="BB20" i="9"/>
  <c r="EY20" i="2" s="1"/>
  <c r="AH22" i="9"/>
  <c r="EE22" i="2" s="1"/>
  <c r="AB19" i="9"/>
  <c r="DY19" i="2" s="1"/>
  <c r="AN21" i="9"/>
  <c r="EK21" i="2" s="1"/>
  <c r="AQ19" i="9"/>
  <c r="EN19" i="2" s="1"/>
  <c r="BA22" i="9"/>
  <c r="EX22" i="2" s="1"/>
  <c r="AF23" i="9"/>
  <c r="EC23" i="2" s="1"/>
  <c r="AC24" i="9"/>
  <c r="DZ24" i="2" s="1"/>
  <c r="BA19" i="9"/>
  <c r="EX19" i="2" s="1"/>
  <c r="AG19" i="9"/>
  <c r="ED19" i="2" s="1"/>
  <c r="AL23" i="9"/>
  <c r="EI23" i="2" s="1"/>
  <c r="AA22" i="9"/>
  <c r="DX22" i="2" s="1"/>
  <c r="BA21" i="9"/>
  <c r="EX21" i="2" s="1"/>
  <c r="AP20" i="9"/>
  <c r="EM20" i="2" s="1"/>
  <c r="AC20" i="9"/>
  <c r="DZ20" i="2" s="1"/>
  <c r="Z21" i="9"/>
  <c r="DW21" i="2" s="1"/>
  <c r="AZ24" i="9"/>
  <c r="EW24" i="2" s="1"/>
  <c r="AZ22" i="9"/>
  <c r="EW22" i="2" s="1"/>
  <c r="AP19" i="9"/>
  <c r="EM19" i="2" s="1"/>
  <c r="EA55" i="2"/>
  <c r="AQ18" i="9"/>
  <c r="EN18" i="2" s="1"/>
  <c r="AQ17" i="9"/>
  <c r="EN17" i="2" s="1"/>
  <c r="AC18" i="9"/>
  <c r="DZ18" i="2" s="1"/>
  <c r="AV17" i="9"/>
  <c r="ES17" i="2" s="1"/>
  <c r="AU18" i="9"/>
  <c r="ER18" i="2" s="1"/>
  <c r="AP18" i="9"/>
  <c r="EM18" i="2" s="1"/>
  <c r="AB17" i="9"/>
  <c r="DY17" i="2" s="1"/>
  <c r="AS18" i="9"/>
  <c r="EP18" i="2" s="1"/>
  <c r="GP18" i="2" s="1"/>
  <c r="AA18" i="9"/>
  <c r="DX18" i="2" s="1"/>
  <c r="AM18" i="9"/>
  <c r="EJ18" i="2" s="1"/>
  <c r="GK26" i="2"/>
  <c r="GO12" i="2"/>
  <c r="GM12" i="2"/>
  <c r="GQ12" i="2"/>
  <c r="C64" i="9"/>
  <c r="B64" i="9" s="1"/>
  <c r="B63" i="9"/>
  <c r="DO43" i="2"/>
  <c r="DQ43" i="2"/>
  <c r="DP43" i="2"/>
  <c r="DT43" i="2"/>
  <c r="GI63" i="2"/>
  <c r="GS58" i="2"/>
  <c r="GV58" i="2"/>
  <c r="DT42" i="2"/>
  <c r="DQ42" i="2"/>
  <c r="DS42" i="2"/>
  <c r="DR64" i="2"/>
  <c r="DS64" i="2"/>
  <c r="DO62" i="2"/>
  <c r="DR62" i="2"/>
  <c r="DQ62" i="2"/>
  <c r="DT62" i="2"/>
  <c r="DS62" i="2"/>
  <c r="DP62" i="2"/>
  <c r="GQ31" i="2"/>
  <c r="GM29" i="2"/>
  <c r="GT29" i="2" s="1"/>
  <c r="GQ52" i="2"/>
  <c r="DQ39" i="2"/>
  <c r="DP39" i="2"/>
  <c r="DT39" i="2"/>
  <c r="GI15" i="2"/>
  <c r="GO15" i="2"/>
  <c r="DP63" i="2"/>
  <c r="DO63" i="2"/>
  <c r="DO27" i="2"/>
  <c r="DQ27" i="2"/>
  <c r="DR27" i="2"/>
  <c r="DS27" i="2"/>
  <c r="DP27" i="2"/>
  <c r="Y20" i="9"/>
  <c r="DV20" i="2" s="1"/>
  <c r="GL20" i="2" s="1"/>
  <c r="AI24" i="9"/>
  <c r="EF24" i="2" s="1"/>
  <c r="AU22" i="9"/>
  <c r="ER22" i="2" s="1"/>
  <c r="Z23" i="9"/>
  <c r="DW23" i="2" s="1"/>
  <c r="AT24" i="9"/>
  <c r="EQ24" i="2" s="1"/>
  <c r="AW22" i="9"/>
  <c r="ET22" i="2" s="1"/>
  <c r="AV19" i="9"/>
  <c r="ES19" i="2" s="1"/>
  <c r="AG22" i="9"/>
  <c r="ED22" i="2" s="1"/>
  <c r="AX23" i="9"/>
  <c r="EU23" i="2" s="1"/>
  <c r="AV24" i="9"/>
  <c r="ES24" i="2" s="1"/>
  <c r="AD23" i="9"/>
  <c r="EA23" i="2" s="1"/>
  <c r="AO24" i="9"/>
  <c r="EL24" i="2" s="1"/>
  <c r="AD20" i="9"/>
  <c r="EA20" i="2" s="1"/>
  <c r="AY20" i="9"/>
  <c r="EV20" i="2" s="1"/>
  <c r="AW24" i="9"/>
  <c r="ET24" i="2" s="1"/>
  <c r="AQ24" i="9"/>
  <c r="EN24" i="2" s="1"/>
  <c r="AO22" i="9"/>
  <c r="EL22" i="2" s="1"/>
  <c r="AW23" i="9"/>
  <c r="ET23" i="2" s="1"/>
  <c r="AR21" i="9"/>
  <c r="EO21" i="2" s="1"/>
  <c r="AP23" i="9"/>
  <c r="EM23" i="2" s="1"/>
  <c r="AF20" i="9"/>
  <c r="EC20" i="2" s="1"/>
  <c r="AS23" i="9"/>
  <c r="EP23" i="2" s="1"/>
  <c r="AM19" i="9"/>
  <c r="EJ19" i="2" s="1"/>
  <c r="AV23" i="9"/>
  <c r="ES23" i="2" s="1"/>
  <c r="Z20" i="9"/>
  <c r="DW20" i="2" s="1"/>
  <c r="AT23" i="9"/>
  <c r="EQ23" i="2" s="1"/>
  <c r="AK20" i="9"/>
  <c r="EH20" i="2" s="1"/>
  <c r="AJ23" i="9"/>
  <c r="EG23" i="2" s="1"/>
  <c r="AL21" i="9"/>
  <c r="EI21" i="2" s="1"/>
  <c r="AG21" i="9"/>
  <c r="ED21" i="2" s="1"/>
  <c r="AX21" i="9"/>
  <c r="EU21" i="2" s="1"/>
  <c r="GN49" i="2"/>
  <c r="GK54" i="2"/>
  <c r="AK19" i="9"/>
  <c r="EH19" i="2" s="1"/>
  <c r="Z19" i="9"/>
  <c r="DW19" i="2" s="1"/>
  <c r="AK18" i="9"/>
  <c r="EH18" i="2" s="1"/>
  <c r="AD18" i="9"/>
  <c r="EA18" i="2" s="1"/>
  <c r="GM18" i="2" s="1"/>
  <c r="AN19" i="9"/>
  <c r="EK19" i="2" s="1"/>
  <c r="GO19" i="2" s="1"/>
  <c r="AT18" i="9"/>
  <c r="AO19" i="9"/>
  <c r="EL19" i="2" s="1"/>
  <c r="GP7" i="2"/>
  <c r="GJ7" i="2"/>
  <c r="GP8" i="2"/>
  <c r="GW8" i="2" s="1"/>
  <c r="GJ8" i="2"/>
  <c r="GO29" i="2"/>
  <c r="GI29" i="2"/>
  <c r="AL20" i="9"/>
  <c r="EI20" i="2" s="1"/>
  <c r="AV21" i="9"/>
  <c r="ES21" i="2" s="1"/>
  <c r="AR22" i="9"/>
  <c r="EO22" i="2" s="1"/>
  <c r="AW20" i="9"/>
  <c r="ET20" i="2" s="1"/>
  <c r="AT22" i="9"/>
  <c r="EQ22" i="2" s="1"/>
  <c r="AB23" i="9"/>
  <c r="DY23" i="2" s="1"/>
  <c r="AF22" i="9"/>
  <c r="EC22" i="2" s="1"/>
  <c r="AQ21" i="9"/>
  <c r="EN21" i="2" s="1"/>
  <c r="AR20" i="9"/>
  <c r="EO20" i="2" s="1"/>
  <c r="Y24" i="9"/>
  <c r="DV24" i="2" s="1"/>
  <c r="Y22" i="9"/>
  <c r="DV22" i="2" s="1"/>
  <c r="AZ20" i="9"/>
  <c r="EW20" i="2" s="1"/>
  <c r="AQ22" i="9"/>
  <c r="EN22" i="2" s="1"/>
  <c r="AS24" i="9"/>
  <c r="EP24" i="2" s="1"/>
  <c r="AS20" i="9"/>
  <c r="EP20" i="2" s="1"/>
  <c r="GP20" i="2" s="1"/>
  <c r="AJ24" i="9"/>
  <c r="EG24" i="2" s="1"/>
  <c r="AH19" i="9"/>
  <c r="EE19" i="2" s="1"/>
  <c r="AA21" i="9"/>
  <c r="DX21" i="2" s="1"/>
  <c r="AV22" i="9"/>
  <c r="ES22" i="2" s="1"/>
  <c r="AG24" i="9"/>
  <c r="ED24" i="2" s="1"/>
  <c r="GF27" i="2"/>
  <c r="GL27" i="2"/>
  <c r="GI31" i="2"/>
  <c r="GO31" i="2"/>
  <c r="GH30" i="2"/>
  <c r="GO49" i="2"/>
  <c r="GI49" i="2"/>
  <c r="GS11" i="2"/>
  <c r="GT11" i="2" s="1"/>
  <c r="GO10" i="2"/>
  <c r="GI10" i="2"/>
  <c r="GP28" i="2"/>
  <c r="GJ28" i="2"/>
  <c r="GJ53" i="2"/>
  <c r="GP53" i="2"/>
  <c r="AX19" i="9"/>
  <c r="EU19" i="2" s="1"/>
  <c r="GQ19" i="2" s="1"/>
  <c r="GK9" i="2"/>
  <c r="GK30" i="2"/>
  <c r="GK31" i="2"/>
  <c r="GK28" i="2"/>
  <c r="AA66" i="9"/>
  <c r="DX66" i="2" s="1"/>
  <c r="AH65" i="9"/>
  <c r="EE65" i="2" s="1"/>
  <c r="AJ67" i="9"/>
  <c r="EG67" i="2" s="1"/>
  <c r="AX67" i="9"/>
  <c r="EU67" i="2" s="1"/>
  <c r="AP64" i="9"/>
  <c r="EM63" i="2" s="1"/>
  <c r="AI66" i="9"/>
  <c r="AI67" i="9"/>
  <c r="AB65" i="9"/>
  <c r="DY65" i="2" s="1"/>
  <c r="AF64" i="9"/>
  <c r="EC63" i="2" s="1"/>
  <c r="AA62" i="9"/>
  <c r="DX61" i="2" s="1"/>
  <c r="AK67" i="9"/>
  <c r="EH67" i="2" s="1"/>
  <c r="AV65" i="9"/>
  <c r="ES65" i="2" s="1"/>
  <c r="AC63" i="9"/>
  <c r="DZ62" i="2" s="1"/>
  <c r="AF63" i="9"/>
  <c r="EC62" i="2" s="1"/>
  <c r="AO62" i="9"/>
  <c r="AE67" i="9"/>
  <c r="AV66" i="9"/>
  <c r="ES66" i="2" s="1"/>
  <c r="AQ63" i="9"/>
  <c r="EN62" i="2" s="1"/>
  <c r="AC61" i="9"/>
  <c r="DZ64" i="2" s="1"/>
  <c r="AG62" i="9"/>
  <c r="ED61" i="2" s="1"/>
  <c r="AM61" i="9"/>
  <c r="EJ64" i="2" s="1"/>
  <c r="AY62" i="9"/>
  <c r="EV61" i="2" s="1"/>
  <c r="BA63" i="9"/>
  <c r="EX62" i="2" s="1"/>
  <c r="AQ62" i="9"/>
  <c r="EN61" i="2" s="1"/>
  <c r="AL67" i="9"/>
  <c r="EI67" i="2" s="1"/>
  <c r="AU65" i="9"/>
  <c r="ER65" i="2" s="1"/>
  <c r="AJ63" i="9"/>
  <c r="EG62" i="2" s="1"/>
  <c r="AY64" i="9"/>
  <c r="AA65" i="9"/>
  <c r="DX65" i="2" s="1"/>
  <c r="AL66" i="9"/>
  <c r="EI66" i="2" s="1"/>
  <c r="AE63" i="9"/>
  <c r="AX65" i="9"/>
  <c r="AM62" i="9"/>
  <c r="EJ61" i="2" s="1"/>
  <c r="AM63" i="9"/>
  <c r="EJ62" i="2" s="1"/>
  <c r="AE66" i="9"/>
  <c r="AL63" i="9"/>
  <c r="EI62" i="2" s="1"/>
  <c r="AU66" i="9"/>
  <c r="ER66" i="2" s="1"/>
  <c r="AB64" i="9"/>
  <c r="DY63" i="2" s="1"/>
  <c r="AP62" i="9"/>
  <c r="EM61" i="2" s="1"/>
  <c r="AN67" i="9"/>
  <c r="EK67" i="2" s="1"/>
  <c r="AO65" i="9"/>
  <c r="DQ52" i="2"/>
  <c r="DS52" i="2"/>
  <c r="DR52" i="2"/>
  <c r="DP52" i="2"/>
  <c r="DT52" i="2"/>
  <c r="DO52" i="2"/>
  <c r="DO38" i="2"/>
  <c r="DQ38" i="2"/>
  <c r="DT38" i="2"/>
  <c r="DP38" i="2"/>
  <c r="DS38" i="2"/>
  <c r="DR38" i="2"/>
  <c r="DQ17" i="2"/>
  <c r="DR17" i="2"/>
  <c r="DT17" i="2"/>
  <c r="DO17" i="2"/>
  <c r="DP17" i="2"/>
  <c r="DS17" i="2"/>
  <c r="GO64" i="2"/>
  <c r="DR53" i="2"/>
  <c r="DP53" i="2"/>
  <c r="DO53" i="2"/>
  <c r="DP41" i="2"/>
  <c r="DO41" i="2"/>
  <c r="DQ41" i="2"/>
  <c r="DT41" i="2"/>
  <c r="DS41" i="2"/>
  <c r="DS23" i="2"/>
  <c r="DR23" i="2"/>
  <c r="DP23" i="2"/>
  <c r="DO23" i="2"/>
  <c r="DQ23" i="2"/>
  <c r="DT23" i="2"/>
  <c r="DQ21" i="2"/>
  <c r="DO21" i="2"/>
  <c r="DP21" i="2"/>
  <c r="DS21" i="2"/>
  <c r="DT21" i="2"/>
  <c r="DR21" i="2"/>
  <c r="DP16" i="2"/>
  <c r="DQ16" i="2"/>
  <c r="DO16" i="2"/>
  <c r="DS16" i="2"/>
  <c r="DR16" i="2"/>
  <c r="GL41" i="2"/>
  <c r="GF41" i="2"/>
  <c r="GG41" i="2"/>
  <c r="GM41" i="2"/>
  <c r="GK57" i="2"/>
  <c r="GS14" i="2"/>
  <c r="AC62" i="9"/>
  <c r="DZ61" i="2" s="1"/>
  <c r="GK46" i="2"/>
  <c r="GJ60" i="2"/>
  <c r="GK12" i="2"/>
  <c r="GQ41" i="2"/>
  <c r="GN69" i="2"/>
  <c r="GH69" i="2"/>
  <c r="DW24" i="2"/>
  <c r="AZ23" i="9"/>
  <c r="EW23" i="2" s="1"/>
  <c r="BB22" i="9"/>
  <c r="EY22" i="2" s="1"/>
  <c r="AT20" i="9"/>
  <c r="EQ20" i="2" s="1"/>
  <c r="AN22" i="9"/>
  <c r="EK22" i="2" s="1"/>
  <c r="AE23" i="9"/>
  <c r="AK24" i="9"/>
  <c r="EH24" i="2" s="1"/>
  <c r="BB21" i="9"/>
  <c r="EY21" i="2" s="1"/>
  <c r="AL24" i="9"/>
  <c r="EI24" i="2" s="1"/>
  <c r="AO20" i="9"/>
  <c r="EL20" i="2" s="1"/>
  <c r="AH21" i="9"/>
  <c r="EE21" i="2" s="1"/>
  <c r="AR23" i="9"/>
  <c r="EO23" i="2" s="1"/>
  <c r="AB22" i="9"/>
  <c r="DY22" i="2" s="1"/>
  <c r="AH23" i="9"/>
  <c r="EE23" i="2" s="1"/>
  <c r="AG23" i="9"/>
  <c r="ED23" i="2" s="1"/>
  <c r="AO21" i="9"/>
  <c r="EL21" i="2" s="1"/>
  <c r="AS22" i="9"/>
  <c r="EP22" i="2" s="1"/>
  <c r="AZ21" i="9"/>
  <c r="EW21" i="2" s="1"/>
  <c r="BA24" i="9"/>
  <c r="EX24" i="2" s="1"/>
  <c r="AP21" i="9"/>
  <c r="EM21" i="2" s="1"/>
  <c r="AI23" i="9"/>
  <c r="AH24" i="9"/>
  <c r="EE24" i="2" s="1"/>
  <c r="BA20" i="9"/>
  <c r="EX20" i="2" s="1"/>
  <c r="AI22" i="9"/>
  <c r="AC22" i="9"/>
  <c r="DZ22" i="2" s="1"/>
  <c r="AR19" i="9"/>
  <c r="EO19" i="2" s="1"/>
  <c r="BA23" i="9"/>
  <c r="EX23" i="2" s="1"/>
  <c r="AU21" i="9"/>
  <c r="ER21" i="2" s="1"/>
  <c r="AQ23" i="9"/>
  <c r="EN23" i="2" s="1"/>
  <c r="AB20" i="9"/>
  <c r="DY20" i="2" s="1"/>
  <c r="AA20" i="9"/>
  <c r="DX20" i="2" s="1"/>
  <c r="AX20" i="9"/>
  <c r="EU20" i="2" s="1"/>
  <c r="AP24" i="9"/>
  <c r="EM24" i="2" s="1"/>
  <c r="AJ21" i="9"/>
  <c r="EG21" i="2" s="1"/>
  <c r="Y21" i="9"/>
  <c r="AF24" i="9"/>
  <c r="EC24" i="2" s="1"/>
  <c r="AJ20" i="9"/>
  <c r="AK22" i="9"/>
  <c r="EH22" i="2" s="1"/>
  <c r="AR24" i="9"/>
  <c r="EO24" i="2" s="1"/>
  <c r="AA24" i="9"/>
  <c r="DX24" i="2" s="1"/>
  <c r="AN24" i="9"/>
  <c r="EK24" i="2" s="1"/>
  <c r="AB24" i="9"/>
  <c r="DY24" i="2" s="1"/>
  <c r="AF21" i="9"/>
  <c r="EC21" i="2" s="1"/>
  <c r="AI21" i="9"/>
  <c r="EF21" i="2" s="1"/>
  <c r="AW19" i="9"/>
  <c r="ET19" i="2" s="1"/>
  <c r="AM23" i="9"/>
  <c r="EJ23" i="2" s="1"/>
  <c r="AM21" i="9"/>
  <c r="EJ21" i="2" s="1"/>
  <c r="AY21" i="9"/>
  <c r="EV21" i="2" s="1"/>
  <c r="AX24" i="9"/>
  <c r="EU24" i="2" s="1"/>
  <c r="AP22" i="9"/>
  <c r="EM22" i="2" s="1"/>
  <c r="AY24" i="9"/>
  <c r="EV24" i="2" s="1"/>
  <c r="AD21" i="9"/>
  <c r="EA21" i="2" s="1"/>
  <c r="AW21" i="9"/>
  <c r="ET21" i="2" s="1"/>
  <c r="AM22" i="9"/>
  <c r="EJ22" i="2" s="1"/>
  <c r="AO23" i="9"/>
  <c r="EL23" i="2" s="1"/>
  <c r="Z22" i="9"/>
  <c r="AD24" i="9"/>
  <c r="AC23" i="9"/>
  <c r="DZ23" i="2" s="1"/>
  <c r="GV8" i="2"/>
  <c r="GT8" i="2"/>
  <c r="GU8" i="2"/>
  <c r="GS8" i="2"/>
  <c r="GK29" i="2"/>
  <c r="GS20" i="2"/>
  <c r="GR68" i="2"/>
  <c r="GS68" i="2"/>
  <c r="GO69" i="2"/>
  <c r="GI69" i="2"/>
  <c r="GS65" i="2"/>
  <c r="GT65" i="2" s="1"/>
  <c r="GS9" i="2"/>
  <c r="GU9" i="2"/>
  <c r="GV9" i="2"/>
  <c r="GL50" i="2"/>
  <c r="GF68" i="2"/>
  <c r="DT45" i="2"/>
  <c r="AW17" i="9"/>
  <c r="ET17" i="2" s="1"/>
  <c r="AN18" i="9"/>
  <c r="EK18" i="2" s="1"/>
  <c r="GO18" i="2" s="1"/>
  <c r="AT19" i="9"/>
  <c r="EQ19" i="2" s="1"/>
  <c r="GJ19" i="2" s="1"/>
  <c r="AL18" i="9"/>
  <c r="EI18" i="2" s="1"/>
  <c r="AW18" i="9"/>
  <c r="ET18" i="2" s="1"/>
  <c r="AZ19" i="9"/>
  <c r="EW19" i="2" s="1"/>
  <c r="Y18" i="9"/>
  <c r="AC17" i="9"/>
  <c r="DZ17" i="2" s="1"/>
  <c r="AB18" i="9"/>
  <c r="DY18" i="2" s="1"/>
  <c r="AD19" i="9"/>
  <c r="EA19" i="2" s="1"/>
  <c r="GM19" i="2" s="1"/>
  <c r="BA18" i="9"/>
  <c r="EX18" i="2" s="1"/>
  <c r="AJ19" i="9"/>
  <c r="Y19" i="9"/>
  <c r="AA19" i="9"/>
  <c r="DX19" i="2" s="1"/>
  <c r="AV18" i="9"/>
  <c r="ES18" i="2" s="1"/>
  <c r="GW9" i="2"/>
  <c r="GK56" i="2"/>
  <c r="GK13" i="2"/>
  <c r="K74" i="10" l="1"/>
  <c r="I73" i="10"/>
  <c r="H74" i="10"/>
  <c r="GI64" i="2"/>
  <c r="GU56" i="2"/>
  <c r="GF65" i="2"/>
  <c r="GX58" i="2"/>
  <c r="GJ64" i="2"/>
  <c r="GK47" i="2"/>
  <c r="GI67" i="2"/>
  <c r="GS30" i="2"/>
  <c r="GT6" i="2"/>
  <c r="GW25" i="2"/>
  <c r="GT68" i="2"/>
  <c r="C69" i="9"/>
  <c r="B69" i="9" s="1"/>
  <c r="GK10" i="2"/>
  <c r="GF52" i="2"/>
  <c r="DR39" i="2"/>
  <c r="DO39" i="2"/>
  <c r="GT46" i="2"/>
  <c r="GU46" i="2" s="1"/>
  <c r="GV46" i="2" s="1"/>
  <c r="GW46" i="2" s="1"/>
  <c r="GK8" i="2"/>
  <c r="GG61" i="2"/>
  <c r="GX8" i="2"/>
  <c r="BD53" i="9"/>
  <c r="FA51" i="2" s="1"/>
  <c r="GJ27" i="2"/>
  <c r="GQ62" i="2"/>
  <c r="GR60" i="2"/>
  <c r="C37" i="9"/>
  <c r="C38" i="9" s="1"/>
  <c r="B38" i="9" s="1"/>
  <c r="B46" i="9"/>
  <c r="C47" i="9"/>
  <c r="B47" i="9" s="1"/>
  <c r="GT25" i="2"/>
  <c r="GI53" i="2"/>
  <c r="C21" i="9"/>
  <c r="B21" i="9" s="1"/>
  <c r="K73" i="10"/>
  <c r="GK11" i="2"/>
  <c r="GV56" i="2"/>
  <c r="GK42" i="2"/>
  <c r="GK27" i="2"/>
  <c r="K77" i="10"/>
  <c r="C38" i="10"/>
  <c r="GU25" i="2"/>
  <c r="GR33" i="2"/>
  <c r="BD50" i="9"/>
  <c r="FA48" i="2" s="1"/>
  <c r="BC69" i="9"/>
  <c r="EZ69" i="2" s="1"/>
  <c r="GX6" i="2"/>
  <c r="GU6" i="2"/>
  <c r="GR7" i="2"/>
  <c r="GH61" i="2"/>
  <c r="GW6" i="2"/>
  <c r="GV25" i="2"/>
  <c r="GS25" i="2"/>
  <c r="GU33" i="2"/>
  <c r="GV6" i="2"/>
  <c r="GX25" i="2"/>
  <c r="GR25" i="2"/>
  <c r="GW11" i="2"/>
  <c r="BD68" i="9"/>
  <c r="FA68" i="2" s="1"/>
  <c r="GX56" i="2"/>
  <c r="GQ22" i="2"/>
  <c r="GT69" i="2"/>
  <c r="GJ67" i="2"/>
  <c r="GW33" i="2"/>
  <c r="GF69" i="2"/>
  <c r="GS7" i="2"/>
  <c r="GT7" i="2" s="1"/>
  <c r="GU7" i="2" s="1"/>
  <c r="GV7" i="2" s="1"/>
  <c r="GT33" i="2"/>
  <c r="GQ21" i="2"/>
  <c r="GH24" i="2"/>
  <c r="GK7" i="2"/>
  <c r="GR8" i="2"/>
  <c r="GR6" i="2"/>
  <c r="GX33" i="2"/>
  <c r="GQ64" i="2"/>
  <c r="GH64" i="2"/>
  <c r="GV11" i="2"/>
  <c r="BD51" i="9"/>
  <c r="FA49" i="2" s="1"/>
  <c r="GI62" i="2"/>
  <c r="GR46" i="2"/>
  <c r="GX46" i="2"/>
  <c r="BD52" i="9"/>
  <c r="FA50" i="2" s="1"/>
  <c r="GM53" i="2"/>
  <c r="GR9" i="2"/>
  <c r="GH63" i="2"/>
  <c r="GL31" i="2"/>
  <c r="GG65" i="2"/>
  <c r="C10" i="9"/>
  <c r="B9" i="9"/>
  <c r="GK60" i="2"/>
  <c r="GM21" i="2"/>
  <c r="GJ51" i="2"/>
  <c r="GH18" i="2"/>
  <c r="AD44" i="9"/>
  <c r="GG63" i="2"/>
  <c r="GW27" i="2"/>
  <c r="GX27" i="2" s="1"/>
  <c r="GV49" i="2"/>
  <c r="AV43" i="9"/>
  <c r="ES43" i="2" s="1"/>
  <c r="GT30" i="2"/>
  <c r="GU30" i="2" s="1"/>
  <c r="AA45" i="9"/>
  <c r="DX45" i="2" s="1"/>
  <c r="AA43" i="9"/>
  <c r="DX43" i="2" s="1"/>
  <c r="AM44" i="9"/>
  <c r="EJ39" i="2" s="1"/>
  <c r="GQ23" i="2"/>
  <c r="GJ21" i="2"/>
  <c r="AZ43" i="9"/>
  <c r="EW43" i="2" s="1"/>
  <c r="AO40" i="9"/>
  <c r="GF20" i="2"/>
  <c r="GM20" i="2"/>
  <c r="GI20" i="2"/>
  <c r="GQ20" i="2"/>
  <c r="GP21" i="2"/>
  <c r="GO20" i="2"/>
  <c r="Z38" i="9"/>
  <c r="GN53" i="2"/>
  <c r="GF23" i="2"/>
  <c r="GR30" i="2"/>
  <c r="GW7" i="2"/>
  <c r="GG22" i="2"/>
  <c r="AQ38" i="9"/>
  <c r="EN38" i="2" s="1"/>
  <c r="AB40" i="9"/>
  <c r="DY34" i="2" s="1"/>
  <c r="AA44" i="9"/>
  <c r="DX39" i="2" s="1"/>
  <c r="GR11" i="2"/>
  <c r="GV30" i="2"/>
  <c r="GW30" i="2" s="1"/>
  <c r="GX30" i="2" s="1"/>
  <c r="GR49" i="2"/>
  <c r="GI21" i="2"/>
  <c r="GX49" i="2"/>
  <c r="GR28" i="2"/>
  <c r="GX11" i="2"/>
  <c r="GP24" i="2"/>
  <c r="GR29" i="2"/>
  <c r="GU29" i="2"/>
  <c r="BC68" i="9"/>
  <c r="EZ68" i="2" s="1"/>
  <c r="GK68" i="2" s="1"/>
  <c r="GF66" i="2"/>
  <c r="AH17" i="9"/>
  <c r="EE17" i="2" s="1"/>
  <c r="GM22" i="2"/>
  <c r="GU11" i="2"/>
  <c r="GR42" i="2"/>
  <c r="GF49" i="2"/>
  <c r="GG68" i="2"/>
  <c r="DW53" i="2"/>
  <c r="BD55" i="9"/>
  <c r="FA53" i="2" s="1"/>
  <c r="BC53" i="9"/>
  <c r="EZ51" i="2" s="1"/>
  <c r="GK51" i="2" s="1"/>
  <c r="DV51" i="2"/>
  <c r="BC50" i="9"/>
  <c r="EZ48" i="2" s="1"/>
  <c r="GO53" i="2"/>
  <c r="GR56" i="2"/>
  <c r="GR14" i="2"/>
  <c r="GN65" i="2"/>
  <c r="GU65" i="2" s="1"/>
  <c r="GV65" i="2" s="1"/>
  <c r="GW65" i="2" s="1"/>
  <c r="GH65" i="2"/>
  <c r="GH53" i="2"/>
  <c r="GG52" i="2"/>
  <c r="GM52" i="2"/>
  <c r="GG53" i="2"/>
  <c r="BC51" i="9"/>
  <c r="EZ49" i="2" s="1"/>
  <c r="GJ48" i="2"/>
  <c r="GI50" i="2"/>
  <c r="EG52" i="2"/>
  <c r="BD54" i="9"/>
  <c r="FA52" i="2" s="1"/>
  <c r="BC55" i="9"/>
  <c r="EZ53" i="2" s="1"/>
  <c r="GH51" i="2"/>
  <c r="BA17" i="9"/>
  <c r="EX17" i="2" s="1"/>
  <c r="GW56" i="2"/>
  <c r="GJ20" i="2"/>
  <c r="GP63" i="2"/>
  <c r="BC61" i="9"/>
  <c r="EZ64" i="2" s="1"/>
  <c r="GP64" i="2"/>
  <c r="AW35" i="9"/>
  <c r="ET41" i="2" s="1"/>
  <c r="AJ36" i="9"/>
  <c r="EG36" i="2" s="1"/>
  <c r="AE36" i="9"/>
  <c r="EB36" i="2" s="1"/>
  <c r="AH35" i="9"/>
  <c r="EE41" i="2" s="1"/>
  <c r="AK36" i="9"/>
  <c r="EH36" i="2" s="1"/>
  <c r="AG35" i="9"/>
  <c r="ED41" i="2" s="1"/>
  <c r="AA36" i="9"/>
  <c r="DX36" i="2" s="1"/>
  <c r="AX36" i="9"/>
  <c r="EU36" i="2" s="1"/>
  <c r="GQ36" i="2" s="1"/>
  <c r="AB35" i="9"/>
  <c r="DY41" i="2" s="1"/>
  <c r="AC35" i="9"/>
  <c r="DZ41" i="2" s="1"/>
  <c r="AY36" i="9"/>
  <c r="EV36" i="2" s="1"/>
  <c r="BB35" i="9"/>
  <c r="EY41" i="2" s="1"/>
  <c r="AM35" i="9"/>
  <c r="EJ41" i="2" s="1"/>
  <c r="AZ36" i="9"/>
  <c r="EW36" i="2" s="1"/>
  <c r="AN36" i="9"/>
  <c r="EK36" i="2" s="1"/>
  <c r="GO36" i="2" s="1"/>
  <c r="AF36" i="9"/>
  <c r="EC36" i="2" s="1"/>
  <c r="AL35" i="9"/>
  <c r="EI41" i="2" s="1"/>
  <c r="AT36" i="9"/>
  <c r="EQ36" i="2" s="1"/>
  <c r="AR45" i="9"/>
  <c r="EO45" i="2" s="1"/>
  <c r="AR41" i="9"/>
  <c r="EO35" i="2" s="1"/>
  <c r="AC43" i="9"/>
  <c r="DZ43" i="2" s="1"/>
  <c r="AI39" i="9"/>
  <c r="EF40" i="2" s="1"/>
  <c r="GN40" i="2" s="1"/>
  <c r="AD41" i="9"/>
  <c r="EA35" i="2" s="1"/>
  <c r="AM41" i="9"/>
  <c r="EJ35" i="2" s="1"/>
  <c r="AZ38" i="9"/>
  <c r="EW38" i="2" s="1"/>
  <c r="AU44" i="9"/>
  <c r="ER39" i="2" s="1"/>
  <c r="AP43" i="9"/>
  <c r="EM43" i="2" s="1"/>
  <c r="AZ42" i="9"/>
  <c r="EW44" i="2" s="1"/>
  <c r="AL45" i="9"/>
  <c r="EI45" i="2" s="1"/>
  <c r="AQ45" i="9"/>
  <c r="EN45" i="2" s="1"/>
  <c r="Y39" i="9"/>
  <c r="AF39" i="9"/>
  <c r="EC40" i="2" s="1"/>
  <c r="AS44" i="9"/>
  <c r="EP39" i="2" s="1"/>
  <c r="GP39" i="2" s="1"/>
  <c r="AH41" i="9"/>
  <c r="EE35" i="2" s="1"/>
  <c r="AS39" i="9"/>
  <c r="EP40" i="2" s="1"/>
  <c r="GP40" i="2" s="1"/>
  <c r="AY37" i="9"/>
  <c r="EV37" i="2" s="1"/>
  <c r="BB36" i="9"/>
  <c r="EY36" i="2" s="1"/>
  <c r="AN41" i="9"/>
  <c r="EK35" i="2" s="1"/>
  <c r="BA45" i="9"/>
  <c r="EX45" i="2" s="1"/>
  <c r="AG37" i="9"/>
  <c r="ED37" i="2" s="1"/>
  <c r="AB36" i="9"/>
  <c r="DY36" i="2" s="1"/>
  <c r="AP40" i="9"/>
  <c r="EM34" i="2" s="1"/>
  <c r="Z37" i="9"/>
  <c r="AS37" i="9"/>
  <c r="EP37" i="2" s="1"/>
  <c r="GP37" i="2" s="1"/>
  <c r="AA42" i="9"/>
  <c r="DX44" i="2" s="1"/>
  <c r="AD42" i="9"/>
  <c r="EA44" i="2" s="1"/>
  <c r="GM44" i="2" s="1"/>
  <c r="AK40" i="9"/>
  <c r="EH34" i="2" s="1"/>
  <c r="AY44" i="9"/>
  <c r="EV39" i="2" s="1"/>
  <c r="AY38" i="9"/>
  <c r="EV38" i="2" s="1"/>
  <c r="AD40" i="9"/>
  <c r="EA34" i="2" s="1"/>
  <c r="D33" i="10" s="1"/>
  <c r="AY42" i="9"/>
  <c r="EV44" i="2" s="1"/>
  <c r="AK43" i="9"/>
  <c r="EH43" i="2" s="1"/>
  <c r="AG39" i="9"/>
  <c r="ED40" i="2" s="1"/>
  <c r="AJ37" i="9"/>
  <c r="EG37" i="2" s="1"/>
  <c r="AV40" i="9"/>
  <c r="ES34" i="2" s="1"/>
  <c r="AH38" i="9"/>
  <c r="EE38" i="2" s="1"/>
  <c r="AC38" i="9"/>
  <c r="DZ38" i="2" s="1"/>
  <c r="AL38" i="9"/>
  <c r="EI38" i="2" s="1"/>
  <c r="Y37" i="9"/>
  <c r="AK37" i="9"/>
  <c r="EH37" i="2" s="1"/>
  <c r="AJ44" i="9"/>
  <c r="EG39" i="2" s="1"/>
  <c r="AA39" i="9"/>
  <c r="DX40" i="2" s="1"/>
  <c r="AE42" i="9"/>
  <c r="EB44" i="2" s="1"/>
  <c r="AZ45" i="9"/>
  <c r="EW45" i="2" s="1"/>
  <c r="AX41" i="9"/>
  <c r="EU35" i="2" s="1"/>
  <c r="AE41" i="9"/>
  <c r="EB35" i="2" s="1"/>
  <c r="GG35" i="2" s="1"/>
  <c r="Z42" i="9"/>
  <c r="AS45" i="9"/>
  <c r="EP45" i="2" s="1"/>
  <c r="GP45" i="2" s="1"/>
  <c r="AG40" i="9"/>
  <c r="ED34" i="2" s="1"/>
  <c r="Z41" i="9"/>
  <c r="AU42" i="9"/>
  <c r="ER44" i="2" s="1"/>
  <c r="Z44" i="9"/>
  <c r="AL43" i="9"/>
  <c r="EI43" i="2" s="1"/>
  <c r="AW40" i="9"/>
  <c r="ET34" i="2" s="1"/>
  <c r="AM38" i="9"/>
  <c r="EJ38" i="2" s="1"/>
  <c r="AN38" i="9"/>
  <c r="EK38" i="2" s="1"/>
  <c r="AX42" i="9"/>
  <c r="EU44" i="2" s="1"/>
  <c r="GQ44" i="2" s="1"/>
  <c r="AX38" i="9"/>
  <c r="EU38" i="2" s="1"/>
  <c r="AT43" i="9"/>
  <c r="EQ43" i="2" s="1"/>
  <c r="BB37" i="9"/>
  <c r="EY37" i="2" s="1"/>
  <c r="AP44" i="9"/>
  <c r="EM39" i="2" s="1"/>
  <c r="AM36" i="9"/>
  <c r="EJ36" i="2" s="1"/>
  <c r="AR36" i="9"/>
  <c r="EO36" i="2" s="1"/>
  <c r="AJ38" i="9"/>
  <c r="EG38" i="2" s="1"/>
  <c r="AO39" i="9"/>
  <c r="EL40" i="2" s="1"/>
  <c r="AE43" i="9"/>
  <c r="EB43" i="2" s="1"/>
  <c r="AP42" i="9"/>
  <c r="EM44" i="2" s="1"/>
  <c r="AW38" i="9"/>
  <c r="ET38" i="2" s="1"/>
  <c r="Z36" i="9"/>
  <c r="Y36" i="9"/>
  <c r="AU36" i="9"/>
  <c r="ER36" i="2" s="1"/>
  <c r="AR35" i="9"/>
  <c r="EO41" i="2" s="1"/>
  <c r="AQ35" i="9"/>
  <c r="EN41" i="2" s="1"/>
  <c r="AS36" i="9"/>
  <c r="EP36" i="2" s="1"/>
  <c r="GP36" i="2" s="1"/>
  <c r="AV36" i="9"/>
  <c r="ES36" i="2" s="1"/>
  <c r="AV35" i="9"/>
  <c r="ES41" i="2" s="1"/>
  <c r="AI36" i="9"/>
  <c r="EF36" i="2" s="1"/>
  <c r="GN36" i="2" s="1"/>
  <c r="AO36" i="9"/>
  <c r="EL36" i="2" s="1"/>
  <c r="GI36" i="2" s="1"/>
  <c r="BA35" i="9"/>
  <c r="EX41" i="2" s="1"/>
  <c r="AP36" i="9"/>
  <c r="EM36" i="2" s="1"/>
  <c r="AD36" i="9"/>
  <c r="EA36" i="2" s="1"/>
  <c r="GM36" i="2" s="1"/>
  <c r="AD38" i="9"/>
  <c r="EA38" i="2" s="1"/>
  <c r="AS38" i="9"/>
  <c r="EP38" i="2" s="1"/>
  <c r="AW45" i="9"/>
  <c r="ET45" i="2" s="1"/>
  <c r="AI38" i="9"/>
  <c r="EF38" i="2" s="1"/>
  <c r="AA40" i="9"/>
  <c r="DX34" i="2" s="1"/>
  <c r="AV44" i="9"/>
  <c r="ES39" i="2" s="1"/>
  <c r="BB39" i="9"/>
  <c r="EY40" i="2" s="1"/>
  <c r="AF42" i="9"/>
  <c r="EC44" i="2" s="1"/>
  <c r="BA41" i="9"/>
  <c r="EX35" i="2" s="1"/>
  <c r="AE40" i="9"/>
  <c r="EB34" i="2" s="1"/>
  <c r="E33" i="10" s="1"/>
  <c r="AB42" i="9"/>
  <c r="DY44" i="2" s="1"/>
  <c r="AR43" i="9"/>
  <c r="EO43" i="2" s="1"/>
  <c r="AI42" i="9"/>
  <c r="EF44" i="2" s="1"/>
  <c r="GN44" i="2" s="1"/>
  <c r="AG42" i="9"/>
  <c r="ED44" i="2" s="1"/>
  <c r="AV42" i="9"/>
  <c r="ES44" i="2" s="1"/>
  <c r="AQ39" i="9"/>
  <c r="EN40" i="2" s="1"/>
  <c r="AQ44" i="9"/>
  <c r="EN39" i="2" s="1"/>
  <c r="AN45" i="9"/>
  <c r="EK45" i="2" s="1"/>
  <c r="GO45" i="2" s="1"/>
  <c r="AX40" i="9"/>
  <c r="EU34" i="2" s="1"/>
  <c r="D37" i="10" s="1"/>
  <c r="AJ40" i="9"/>
  <c r="EG34" i="2" s="1"/>
  <c r="BA36" i="9"/>
  <c r="EX36" i="2" s="1"/>
  <c r="AN42" i="9"/>
  <c r="EK44" i="2" s="1"/>
  <c r="GO44" i="2" s="1"/>
  <c r="AO43" i="9"/>
  <c r="EL43" i="2" s="1"/>
  <c r="AJ39" i="9"/>
  <c r="EG40" i="2" s="1"/>
  <c r="GH40" i="2" s="1"/>
  <c r="AI43" i="9"/>
  <c r="EF43" i="2" s="1"/>
  <c r="GN43" i="2" s="1"/>
  <c r="AF38" i="9"/>
  <c r="EC38" i="2" s="1"/>
  <c r="AP45" i="9"/>
  <c r="EM45" i="2" s="1"/>
  <c r="AN44" i="9"/>
  <c r="EK39" i="2" s="1"/>
  <c r="GO39" i="2" s="1"/>
  <c r="AB39" i="9"/>
  <c r="DY40" i="2" s="1"/>
  <c r="AX37" i="9"/>
  <c r="EU37" i="2" s="1"/>
  <c r="GQ37" i="2" s="1"/>
  <c r="AZ39" i="9"/>
  <c r="EW40" i="2" s="1"/>
  <c r="AI45" i="9"/>
  <c r="EF45" i="2" s="1"/>
  <c r="GN45" i="2" s="1"/>
  <c r="AX45" i="9"/>
  <c r="EU45" i="2" s="1"/>
  <c r="GQ45" i="2" s="1"/>
  <c r="AG41" i="9"/>
  <c r="ED35" i="2" s="1"/>
  <c r="AK45" i="9"/>
  <c r="EH45" i="2" s="1"/>
  <c r="AW44" i="9"/>
  <c r="ET39" i="2" s="1"/>
  <c r="AR44" i="9"/>
  <c r="EO39" i="2" s="1"/>
  <c r="AQ42" i="9"/>
  <c r="EN44" i="2" s="1"/>
  <c r="AT40" i="9"/>
  <c r="EQ34" i="2" s="1"/>
  <c r="AV39" i="9"/>
  <c r="ES40" i="2" s="1"/>
  <c r="AV41" i="9"/>
  <c r="ES35" i="2" s="1"/>
  <c r="AR39" i="9"/>
  <c r="EO40" i="2" s="1"/>
  <c r="AM45" i="9"/>
  <c r="EJ45" i="2" s="1"/>
  <c r="AM39" i="9"/>
  <c r="EJ40" i="2" s="1"/>
  <c r="Y41" i="9"/>
  <c r="AV37" i="9"/>
  <c r="ES37" i="2" s="1"/>
  <c r="AX44" i="9"/>
  <c r="EU39" i="2" s="1"/>
  <c r="GQ39" i="2" s="1"/>
  <c r="AK38" i="9"/>
  <c r="EH38" i="2" s="1"/>
  <c r="BA37" i="9"/>
  <c r="EX37" i="2" s="1"/>
  <c r="AR40" i="9"/>
  <c r="EO34" i="2" s="1"/>
  <c r="J46" i="10" s="1"/>
  <c r="AM37" i="9"/>
  <c r="EJ37" i="2" s="1"/>
  <c r="AO45" i="9"/>
  <c r="EL45" i="2" s="1"/>
  <c r="AH43" i="9"/>
  <c r="EE43" i="2" s="1"/>
  <c r="AG43" i="9"/>
  <c r="ED43" i="2" s="1"/>
  <c r="AG45" i="9"/>
  <c r="ED45" i="2" s="1"/>
  <c r="AT37" i="9"/>
  <c r="EQ37" i="2" s="1"/>
  <c r="GJ37" i="2" s="1"/>
  <c r="AR38" i="9"/>
  <c r="EO38" i="2" s="1"/>
  <c r="AB37" i="9"/>
  <c r="DY37" i="2" s="1"/>
  <c r="AY43" i="9"/>
  <c r="EV43" i="2" s="1"/>
  <c r="BB38" i="9"/>
  <c r="EY38" i="2" s="1"/>
  <c r="AU37" i="9"/>
  <c r="ER37" i="2" s="1"/>
  <c r="AX39" i="9"/>
  <c r="EU40" i="2" s="1"/>
  <c r="GQ40" i="2" s="1"/>
  <c r="AI44" i="9"/>
  <c r="EF39" i="2" s="1"/>
  <c r="GN39" i="2" s="1"/>
  <c r="AJ41" i="9"/>
  <c r="EG35" i="2" s="1"/>
  <c r="AQ41" i="9"/>
  <c r="EN35" i="2" s="1"/>
  <c r="AH42" i="9"/>
  <c r="EE44" i="2" s="1"/>
  <c r="AI41" i="9"/>
  <c r="EF35" i="2" s="1"/>
  <c r="GN35" i="2" s="1"/>
  <c r="AD39" i="9"/>
  <c r="EA40" i="2" s="1"/>
  <c r="GM40" i="2" s="1"/>
  <c r="AD45" i="9"/>
  <c r="EA45" i="2" s="1"/>
  <c r="GM45" i="2" s="1"/>
  <c r="AQ36" i="9"/>
  <c r="EN36" i="2" s="1"/>
  <c r="AH39" i="9"/>
  <c r="EE40" i="2" s="1"/>
  <c r="BA40" i="9"/>
  <c r="EX34" i="2" s="1"/>
  <c r="G48" i="10" s="1"/>
  <c r="AN40" i="9"/>
  <c r="EK34" i="2" s="1"/>
  <c r="D35" i="10" s="1"/>
  <c r="AR37" i="9"/>
  <c r="EO37" i="2" s="1"/>
  <c r="AW43" i="9"/>
  <c r="ET43" i="2" s="1"/>
  <c r="BA38" i="9"/>
  <c r="EX38" i="2" s="1"/>
  <c r="AH45" i="9"/>
  <c r="EE45" i="2" s="1"/>
  <c r="AF41" i="9"/>
  <c r="EC35" i="2" s="1"/>
  <c r="AZ37" i="9"/>
  <c r="EW37" i="2" s="1"/>
  <c r="AA38" i="9"/>
  <c r="DX38" i="2" s="1"/>
  <c r="AS42" i="9"/>
  <c r="EP44" i="2" s="1"/>
  <c r="GP44" i="2" s="1"/>
  <c r="AH36" i="9"/>
  <c r="EE36" i="2" s="1"/>
  <c r="AB41" i="9"/>
  <c r="DY35" i="2" s="1"/>
  <c r="AE39" i="9"/>
  <c r="EB40" i="2" s="1"/>
  <c r="AC40" i="9"/>
  <c r="DZ34" i="2" s="1"/>
  <c r="AQ40" i="9"/>
  <c r="EN34" i="2" s="1"/>
  <c r="G46" i="10" s="1"/>
  <c r="AT41" i="9"/>
  <c r="EQ35" i="2" s="1"/>
  <c r="AB44" i="9"/>
  <c r="DY39" i="2" s="1"/>
  <c r="AC45" i="9"/>
  <c r="DZ45" i="2" s="1"/>
  <c r="AT45" i="9"/>
  <c r="EQ45" i="2" s="1"/>
  <c r="GJ45" i="2" s="1"/>
  <c r="AB45" i="9"/>
  <c r="DY45" i="2" s="1"/>
  <c r="AZ40" i="9"/>
  <c r="EW34" i="2" s="1"/>
  <c r="C48" i="10" s="1"/>
  <c r="AT39" i="9"/>
  <c r="EQ40" i="2" s="1"/>
  <c r="GJ40" i="2" s="1"/>
  <c r="AW42" i="9"/>
  <c r="ET44" i="2" s="1"/>
  <c r="AS40" i="9"/>
  <c r="EP34" i="2" s="1"/>
  <c r="AU40" i="9"/>
  <c r="ER34" i="2" s="1"/>
  <c r="AH44" i="9"/>
  <c r="EE39" i="2" s="1"/>
  <c r="AE37" i="9"/>
  <c r="EB37" i="2" s="1"/>
  <c r="AC36" i="9"/>
  <c r="DZ36" i="2" s="1"/>
  <c r="AC37" i="9"/>
  <c r="DZ37" i="2" s="1"/>
  <c r="AF45" i="9"/>
  <c r="EC45" i="2" s="1"/>
  <c r="AG36" i="9"/>
  <c r="ED36" i="2" s="1"/>
  <c r="AV38" i="9"/>
  <c r="ES38" i="2" s="1"/>
  <c r="BB40" i="9"/>
  <c r="EY34" i="2" s="1"/>
  <c r="AN37" i="9"/>
  <c r="EK37" i="2" s="1"/>
  <c r="GO37" i="2" s="1"/>
  <c r="AL39" i="9"/>
  <c r="EI40" i="2" s="1"/>
  <c r="AO41" i="9"/>
  <c r="EL35" i="2" s="1"/>
  <c r="GI35" i="2" s="1"/>
  <c r="Y45" i="9"/>
  <c r="AC44" i="9"/>
  <c r="DZ39" i="2" s="1"/>
  <c r="AD43" i="9"/>
  <c r="EA43" i="2" s="1"/>
  <c r="GM43" i="2" s="1"/>
  <c r="AS41" i="9"/>
  <c r="EP35" i="2" s="1"/>
  <c r="GP35" i="2" s="1"/>
  <c r="AA41" i="9"/>
  <c r="DX35" i="2" s="1"/>
  <c r="AA37" i="9"/>
  <c r="DX37" i="2" s="1"/>
  <c r="AB43" i="9"/>
  <c r="DY43" i="2" s="1"/>
  <c r="BA43" i="9"/>
  <c r="EX43" i="2" s="1"/>
  <c r="AC39" i="9"/>
  <c r="DZ40" i="2" s="1"/>
  <c r="AT42" i="9"/>
  <c r="EQ44" i="2" s="1"/>
  <c r="AF40" i="9"/>
  <c r="EC34" i="2" s="1"/>
  <c r="C44" i="10" s="1"/>
  <c r="AU41" i="9"/>
  <c r="ER35" i="2" s="1"/>
  <c r="AY45" i="9"/>
  <c r="EV45" i="2" s="1"/>
  <c r="Y44" i="9"/>
  <c r="DV39" i="2" s="1"/>
  <c r="GL39" i="2" s="1"/>
  <c r="Y40" i="9"/>
  <c r="AK41" i="9"/>
  <c r="EH35" i="2" s="1"/>
  <c r="AN39" i="9"/>
  <c r="EK40" i="2" s="1"/>
  <c r="GO40" i="2" s="1"/>
  <c r="Z45" i="9"/>
  <c r="AC42" i="9"/>
  <c r="DZ44" i="2" s="1"/>
  <c r="AF43" i="9"/>
  <c r="EC43" i="2" s="1"/>
  <c r="Z43" i="9"/>
  <c r="AO44" i="9"/>
  <c r="EL39" i="2" s="1"/>
  <c r="GI39" i="2" s="1"/>
  <c r="AI40" i="9"/>
  <c r="EF34" i="2" s="1"/>
  <c r="GN34" i="2" s="1"/>
  <c r="AW37" i="9"/>
  <c r="ET37" i="2" s="1"/>
  <c r="AK44" i="9"/>
  <c r="EH39" i="2" s="1"/>
  <c r="AY40" i="9"/>
  <c r="EV34" i="2" s="1"/>
  <c r="AQ43" i="9"/>
  <c r="EN43" i="2" s="1"/>
  <c r="AW41" i="9"/>
  <c r="ET35" i="2" s="1"/>
  <c r="AU45" i="9"/>
  <c r="ER45" i="2" s="1"/>
  <c r="BA42" i="9"/>
  <c r="EX44" i="2" s="1"/>
  <c r="BB45" i="9"/>
  <c r="EY45" i="2" s="1"/>
  <c r="AF37" i="9"/>
  <c r="EC37" i="2" s="1"/>
  <c r="BB41" i="9"/>
  <c r="EY35" i="2" s="1"/>
  <c r="AN43" i="9"/>
  <c r="EK43" i="2" s="1"/>
  <c r="GO43" i="2" s="1"/>
  <c r="AC41" i="9"/>
  <c r="DZ35" i="2" s="1"/>
  <c r="AM42" i="9"/>
  <c r="EJ44" i="2" s="1"/>
  <c r="AE38" i="9"/>
  <c r="EB38" i="2" s="1"/>
  <c r="GG38" i="2" s="1"/>
  <c r="AU39" i="9"/>
  <c r="ER40" i="2" s="1"/>
  <c r="AD37" i="9"/>
  <c r="EA37" i="2" s="1"/>
  <c r="GM37" i="2" s="1"/>
  <c r="AK39" i="9"/>
  <c r="EH40" i="2" s="1"/>
  <c r="AL36" i="9"/>
  <c r="EI36" i="2" s="1"/>
  <c r="AZ41" i="9"/>
  <c r="EW35" i="2" s="1"/>
  <c r="AJ43" i="9"/>
  <c r="EG43" i="2" s="1"/>
  <c r="GH43" i="2" s="1"/>
  <c r="Y38" i="9"/>
  <c r="AM43" i="9"/>
  <c r="EJ43" i="2" s="1"/>
  <c r="AL42" i="9"/>
  <c r="EI44" i="2" s="1"/>
  <c r="AW39" i="9"/>
  <c r="ET40" i="2" s="1"/>
  <c r="AL44" i="9"/>
  <c r="EI39" i="2" s="1"/>
  <c r="AT44" i="9"/>
  <c r="EQ39" i="2" s="1"/>
  <c r="GJ39" i="2" s="1"/>
  <c r="AR42" i="9"/>
  <c r="EO44" i="2" s="1"/>
  <c r="AJ45" i="9"/>
  <c r="EG45" i="2" s="1"/>
  <c r="GH45" i="2" s="1"/>
  <c r="AM40" i="9"/>
  <c r="EJ34" i="2" s="1"/>
  <c r="J45" i="10" s="1"/>
  <c r="AY41" i="9"/>
  <c r="EV35" i="2" s="1"/>
  <c r="AB38" i="9"/>
  <c r="DY38" i="2" s="1"/>
  <c r="Y43" i="9"/>
  <c r="AW36" i="9"/>
  <c r="ET36" i="2" s="1"/>
  <c r="BB42" i="9"/>
  <c r="EY44" i="2" s="1"/>
  <c r="AX43" i="9"/>
  <c r="EU43" i="2" s="1"/>
  <c r="GQ43" i="2" s="1"/>
  <c r="AP41" i="9"/>
  <c r="EM35" i="2" s="1"/>
  <c r="AO42" i="9"/>
  <c r="EL44" i="2" s="1"/>
  <c r="GI44" i="2" s="1"/>
  <c r="BA39" i="9"/>
  <c r="EX40" i="2" s="1"/>
  <c r="BB44" i="9"/>
  <c r="EY39" i="2" s="1"/>
  <c r="AL41" i="9"/>
  <c r="EI35" i="2" s="1"/>
  <c r="AP37" i="9"/>
  <c r="EM37" i="2" s="1"/>
  <c r="AJ42" i="9"/>
  <c r="EG44" i="2" s="1"/>
  <c r="AH40" i="9"/>
  <c r="EE34" i="2" s="1"/>
  <c r="J44" i="10" s="1"/>
  <c r="AU38" i="9"/>
  <c r="ER38" i="2" s="1"/>
  <c r="AP39" i="9"/>
  <c r="EM40" i="2" s="1"/>
  <c r="AL40" i="9"/>
  <c r="EI34" i="2" s="1"/>
  <c r="AQ37" i="9"/>
  <c r="EN37" i="2" s="1"/>
  <c r="AY39" i="9"/>
  <c r="EV40" i="2" s="1"/>
  <c r="Y42" i="9"/>
  <c r="AG38" i="9"/>
  <c r="ED38" i="2" s="1"/>
  <c r="AV45" i="9"/>
  <c r="ES45" i="2" s="1"/>
  <c r="AK42" i="9"/>
  <c r="EH44" i="2" s="1"/>
  <c r="AO38" i="9"/>
  <c r="EL38" i="2" s="1"/>
  <c r="GI38" i="2" s="1"/>
  <c r="Z40" i="9"/>
  <c r="DW34" i="2" s="1"/>
  <c r="AS43" i="9"/>
  <c r="EP43" i="2" s="1"/>
  <c r="GP43" i="2" s="1"/>
  <c r="AG44" i="9"/>
  <c r="ED39" i="2" s="1"/>
  <c r="AU43" i="9"/>
  <c r="ER43" i="2" s="1"/>
  <c r="AP38" i="9"/>
  <c r="EM38" i="2" s="1"/>
  <c r="AI37" i="9"/>
  <c r="EF37" i="2" s="1"/>
  <c r="GN37" i="2" s="1"/>
  <c r="AZ44" i="9"/>
  <c r="EW39" i="2" s="1"/>
  <c r="AF44" i="9"/>
  <c r="EC39" i="2" s="1"/>
  <c r="AL37" i="9"/>
  <c r="EI37" i="2" s="1"/>
  <c r="Z39" i="9"/>
  <c r="AT38" i="9"/>
  <c r="EQ38" i="2" s="1"/>
  <c r="GJ38" i="2" s="1"/>
  <c r="AE45" i="9"/>
  <c r="EB45" i="2" s="1"/>
  <c r="AE44" i="9"/>
  <c r="EB39" i="2" s="1"/>
  <c r="BA44" i="9"/>
  <c r="EX39" i="2" s="1"/>
  <c r="AH37" i="9"/>
  <c r="EE37" i="2" s="1"/>
  <c r="AO37" i="9"/>
  <c r="EL37" i="2" s="1"/>
  <c r="GS56" i="2"/>
  <c r="GT56" i="2"/>
  <c r="DW64" i="2"/>
  <c r="BD61" i="9"/>
  <c r="FA64" i="2" s="1"/>
  <c r="GK64" i="2" s="1"/>
  <c r="GS42" i="2"/>
  <c r="GT42" i="2"/>
  <c r="GR27" i="2"/>
  <c r="AV15" i="9"/>
  <c r="ES15" i="2" s="1"/>
  <c r="AB15" i="9"/>
  <c r="DY15" i="2" s="1"/>
  <c r="AU16" i="9"/>
  <c r="ER16" i="2" s="1"/>
  <c r="AT16" i="9"/>
  <c r="EQ16" i="2" s="1"/>
  <c r="AF16" i="9"/>
  <c r="EC16" i="2" s="1"/>
  <c r="AS16" i="9"/>
  <c r="EP16" i="2" s="1"/>
  <c r="AD16" i="9"/>
  <c r="EA16" i="2" s="1"/>
  <c r="AN17" i="9"/>
  <c r="EK17" i="2" s="1"/>
  <c r="AK17" i="9"/>
  <c r="EH17" i="2" s="1"/>
  <c r="AF17" i="9"/>
  <c r="EC17" i="2" s="1"/>
  <c r="AC15" i="9"/>
  <c r="DZ15" i="2" s="1"/>
  <c r="AR15" i="9"/>
  <c r="EO15" i="2" s="1"/>
  <c r="AT17" i="9"/>
  <c r="EQ17" i="2" s="1"/>
  <c r="AZ16" i="9"/>
  <c r="EW16" i="2" s="1"/>
  <c r="AK16" i="9"/>
  <c r="EH16" i="2" s="1"/>
  <c r="Y17" i="9"/>
  <c r="AM15" i="9"/>
  <c r="EJ15" i="2" s="1"/>
  <c r="AW15" i="9"/>
  <c r="ET15" i="2" s="1"/>
  <c r="BA16" i="9"/>
  <c r="EX16" i="2" s="1"/>
  <c r="AY16" i="9"/>
  <c r="EV16" i="2" s="1"/>
  <c r="AL15" i="9"/>
  <c r="EI15" i="2" s="1"/>
  <c r="AQ15" i="9"/>
  <c r="EN15" i="2" s="1"/>
  <c r="Z17" i="9"/>
  <c r="AI16" i="9"/>
  <c r="EF16" i="2" s="1"/>
  <c r="AR16" i="9"/>
  <c r="EO16" i="2" s="1"/>
  <c r="AD17" i="9"/>
  <c r="EA17" i="2" s="1"/>
  <c r="AE16" i="9"/>
  <c r="EB16" i="2" s="1"/>
  <c r="Y16" i="9"/>
  <c r="AC16" i="9"/>
  <c r="DZ16" i="2" s="1"/>
  <c r="AN16" i="9"/>
  <c r="EK16" i="2" s="1"/>
  <c r="AO17" i="9"/>
  <c r="EL17" i="2" s="1"/>
  <c r="AS17" i="9"/>
  <c r="EP17" i="2" s="1"/>
  <c r="AP17" i="9"/>
  <c r="EM17" i="2" s="1"/>
  <c r="BB16" i="9"/>
  <c r="EY16" i="2" s="1"/>
  <c r="AJ17" i="9"/>
  <c r="EG17" i="2" s="1"/>
  <c r="AI17" i="9"/>
  <c r="EF17" i="2" s="1"/>
  <c r="AO16" i="9"/>
  <c r="EL16" i="2" s="1"/>
  <c r="AG16" i="9"/>
  <c r="ED16" i="2" s="1"/>
  <c r="AX17" i="9"/>
  <c r="EU17" i="2" s="1"/>
  <c r="AX16" i="9"/>
  <c r="EU16" i="2" s="1"/>
  <c r="BA15" i="9"/>
  <c r="EX15" i="2" s="1"/>
  <c r="AP16" i="9"/>
  <c r="EM16" i="2" s="1"/>
  <c r="AG15" i="9"/>
  <c r="ED15" i="2" s="1"/>
  <c r="AH15" i="9"/>
  <c r="EE15" i="2" s="1"/>
  <c r="AQ16" i="9"/>
  <c r="EN16" i="2" s="1"/>
  <c r="Z16" i="9"/>
  <c r="AA17" i="9"/>
  <c r="DX17" i="2" s="1"/>
  <c r="AB16" i="9"/>
  <c r="DY16" i="2" s="1"/>
  <c r="AZ17" i="9"/>
  <c r="EW17" i="2" s="1"/>
  <c r="AA16" i="9"/>
  <c r="DX16" i="2" s="1"/>
  <c r="AU17" i="9"/>
  <c r="ER17" i="2" s="1"/>
  <c r="AV16" i="9"/>
  <c r="ES16" i="2" s="1"/>
  <c r="AJ16" i="9"/>
  <c r="EG16" i="2" s="1"/>
  <c r="AE17" i="9"/>
  <c r="EB17" i="2" s="1"/>
  <c r="AM16" i="9"/>
  <c r="EJ16" i="2" s="1"/>
  <c r="AY17" i="9"/>
  <c r="EV17" i="2" s="1"/>
  <c r="BB15" i="9"/>
  <c r="EY15" i="2" s="1"/>
  <c r="AW16" i="9"/>
  <c r="ET16" i="2" s="1"/>
  <c r="AH16" i="9"/>
  <c r="EE16" i="2" s="1"/>
  <c r="AL16" i="9"/>
  <c r="EI16" i="2" s="1"/>
  <c r="GN64" i="2"/>
  <c r="AR32" i="9"/>
  <c r="EO32" i="2" s="1"/>
  <c r="AF32" i="9"/>
  <c r="EC32" i="2" s="1"/>
  <c r="AW31" i="9"/>
  <c r="ET31" i="2" s="1"/>
  <c r="AO32" i="9"/>
  <c r="EL32" i="2" s="1"/>
  <c r="AD32" i="9"/>
  <c r="EA32" i="2" s="1"/>
  <c r="GM32" i="2" s="1"/>
  <c r="AH31" i="9"/>
  <c r="EE31" i="2" s="1"/>
  <c r="AI32" i="9"/>
  <c r="EF32" i="2" s="1"/>
  <c r="GN32" i="2" s="1"/>
  <c r="Y32" i="9"/>
  <c r="AA32" i="9"/>
  <c r="DX32" i="2" s="1"/>
  <c r="AN32" i="9"/>
  <c r="EK32" i="2" s="1"/>
  <c r="GO32" i="2" s="1"/>
  <c r="AB32" i="9"/>
  <c r="DY32" i="2" s="1"/>
  <c r="AL32" i="9"/>
  <c r="EI32" i="2" s="1"/>
  <c r="AZ32" i="9"/>
  <c r="EW32" i="2" s="1"/>
  <c r="BB32" i="9"/>
  <c r="EY32" i="2" s="1"/>
  <c r="AT32" i="9"/>
  <c r="EQ32" i="2" s="1"/>
  <c r="AR31" i="9"/>
  <c r="EO31" i="2" s="1"/>
  <c r="AG32" i="9"/>
  <c r="ED32" i="2" s="1"/>
  <c r="AJ32" i="9"/>
  <c r="EG32" i="2" s="1"/>
  <c r="AG31" i="9"/>
  <c r="ED31" i="2" s="1"/>
  <c r="BA31" i="9"/>
  <c r="EX31" i="2" s="1"/>
  <c r="AS32" i="9"/>
  <c r="EP32" i="2" s="1"/>
  <c r="GP32" i="2" s="1"/>
  <c r="AB31" i="9"/>
  <c r="DY31" i="2" s="1"/>
  <c r="AC32" i="9"/>
  <c r="DZ32" i="2" s="1"/>
  <c r="AU32" i="9"/>
  <c r="ER32" i="2" s="1"/>
  <c r="AV31" i="9"/>
  <c r="ES31" i="2" s="1"/>
  <c r="AW32" i="9"/>
  <c r="ET32" i="2" s="1"/>
  <c r="AC31" i="9"/>
  <c r="DZ31" i="2" s="1"/>
  <c r="AV32" i="9"/>
  <c r="ES32" i="2" s="1"/>
  <c r="AE32" i="9"/>
  <c r="EB32" i="2" s="1"/>
  <c r="GG32" i="2" s="1"/>
  <c r="AH32" i="9"/>
  <c r="EE32" i="2" s="1"/>
  <c r="AM32" i="9"/>
  <c r="EJ32" i="2" s="1"/>
  <c r="BB31" i="9"/>
  <c r="EY31" i="2" s="1"/>
  <c r="Z32" i="9"/>
  <c r="AX32" i="9"/>
  <c r="EU32" i="2" s="1"/>
  <c r="GQ32" i="2" s="1"/>
  <c r="AM31" i="9"/>
  <c r="EJ31" i="2" s="1"/>
  <c r="AL31" i="9"/>
  <c r="EI31" i="2" s="1"/>
  <c r="AK32" i="9"/>
  <c r="EH32" i="2" s="1"/>
  <c r="AQ31" i="9"/>
  <c r="EN31" i="2" s="1"/>
  <c r="BA32" i="9"/>
  <c r="EX32" i="2" s="1"/>
  <c r="AY32" i="9"/>
  <c r="EV32" i="2" s="1"/>
  <c r="AP32" i="9"/>
  <c r="EM32" i="2" s="1"/>
  <c r="AQ32" i="9"/>
  <c r="EN32" i="2" s="1"/>
  <c r="GR13" i="2"/>
  <c r="GW13" i="2"/>
  <c r="GT13" i="2"/>
  <c r="GU13" i="2" s="1"/>
  <c r="GV13" i="2" s="1"/>
  <c r="GX13" i="2"/>
  <c r="EF59" i="2"/>
  <c r="BC59" i="9"/>
  <c r="EZ59" i="2" s="1"/>
  <c r="GK59" i="2" s="1"/>
  <c r="C17" i="9"/>
  <c r="B17" i="9" s="1"/>
  <c r="B16" i="9"/>
  <c r="GW57" i="2"/>
  <c r="GX57" i="2"/>
  <c r="GV57" i="2"/>
  <c r="GT57" i="2"/>
  <c r="GR57" i="2"/>
  <c r="GU57" i="2"/>
  <c r="GJ52" i="2"/>
  <c r="GP52" i="2"/>
  <c r="GL67" i="2"/>
  <c r="GT67" i="2"/>
  <c r="DV63" i="2"/>
  <c r="GL63" i="2" s="1"/>
  <c r="GS63" i="2" s="1"/>
  <c r="BC64" i="9"/>
  <c r="EZ63" i="2" s="1"/>
  <c r="GO62" i="2"/>
  <c r="GI66" i="2"/>
  <c r="EA39" i="2"/>
  <c r="BC44" i="9"/>
  <c r="EZ39" i="2" s="1"/>
  <c r="GG64" i="2"/>
  <c r="GM64" i="2"/>
  <c r="GP66" i="2"/>
  <c r="GJ66" i="2"/>
  <c r="GM63" i="2"/>
  <c r="GJ63" i="2"/>
  <c r="GN63" i="2"/>
  <c r="BC62" i="9"/>
  <c r="EZ61" i="2" s="1"/>
  <c r="DV61" i="2"/>
  <c r="GL61" i="2" s="1"/>
  <c r="GP61" i="2"/>
  <c r="GJ61" i="2"/>
  <c r="EL34" i="2"/>
  <c r="E35" i="10" s="1"/>
  <c r="EF52" i="2"/>
  <c r="BC54" i="9"/>
  <c r="EZ52" i="2" s="1"/>
  <c r="GK52" i="2" s="1"/>
  <c r="GV27" i="2"/>
  <c r="GV69" i="2"/>
  <c r="GX7" i="2"/>
  <c r="GR20" i="2"/>
  <c r="GP22" i="2"/>
  <c r="GO22" i="2"/>
  <c r="EA50" i="2"/>
  <c r="BC52" i="9"/>
  <c r="EZ50" i="2" s="1"/>
  <c r="GK50" i="2" s="1"/>
  <c r="GI68" i="2"/>
  <c r="DV62" i="2"/>
  <c r="BC63" i="9"/>
  <c r="EZ62" i="2" s="1"/>
  <c r="GT66" i="2"/>
  <c r="GS66" i="2"/>
  <c r="GJ62" i="2"/>
  <c r="GF67" i="2"/>
  <c r="DW38" i="2"/>
  <c r="BD69" i="9"/>
  <c r="FA69" i="2" s="1"/>
  <c r="GK69" i="2" s="1"/>
  <c r="GU69" i="2"/>
  <c r="GL48" i="2"/>
  <c r="GF48" i="2"/>
  <c r="GG20" i="2"/>
  <c r="GU58" i="2"/>
  <c r="GT58" i="2"/>
  <c r="GW58" i="2"/>
  <c r="GR47" i="2"/>
  <c r="GS47" i="2"/>
  <c r="GT47" i="2" s="1"/>
  <c r="GU47" i="2" s="1"/>
  <c r="GV47" i="2" s="1"/>
  <c r="GW47" i="2" s="1"/>
  <c r="GX47" i="2" s="1"/>
  <c r="GL54" i="2"/>
  <c r="GF54" i="2"/>
  <c r="GT14" i="2"/>
  <c r="GX14" i="2"/>
  <c r="GV14" i="2"/>
  <c r="GW14" i="2"/>
  <c r="GU14" i="2"/>
  <c r="GR69" i="2"/>
  <c r="GU15" i="2"/>
  <c r="GT15" i="2"/>
  <c r="C55" i="9"/>
  <c r="B55" i="9" s="1"/>
  <c r="B54" i="9"/>
  <c r="GX69" i="2"/>
  <c r="GW69" i="2"/>
  <c r="BD21" i="9"/>
  <c r="FA21" i="2" s="1"/>
  <c r="GN21" i="2"/>
  <c r="GJ23" i="2"/>
  <c r="GX15" i="2"/>
  <c r="GW15" i="2"/>
  <c r="GV15" i="2"/>
  <c r="GR15" i="2"/>
  <c r="GX26" i="2"/>
  <c r="GI19" i="2"/>
  <c r="GG55" i="2"/>
  <c r="GM55" i="2"/>
  <c r="GR26" i="2"/>
  <c r="BC20" i="9"/>
  <c r="EZ20" i="2" s="1"/>
  <c r="GX42" i="2"/>
  <c r="GU42" i="2"/>
  <c r="GV42" i="2"/>
  <c r="GW42" i="2"/>
  <c r="GT12" i="2"/>
  <c r="GU12" i="2" s="1"/>
  <c r="GV12" i="2" s="1"/>
  <c r="GW12" i="2" s="1"/>
  <c r="GX12" i="2" s="1"/>
  <c r="GR12" i="2"/>
  <c r="GS52" i="2"/>
  <c r="EL65" i="2"/>
  <c r="GI65" i="2" s="1"/>
  <c r="BD65" i="9"/>
  <c r="FA65" i="2" s="1"/>
  <c r="EB66" i="2"/>
  <c r="GG66" i="2" s="1"/>
  <c r="BD66" i="9"/>
  <c r="FA66" i="2" s="1"/>
  <c r="EU65" i="2"/>
  <c r="GQ65" i="2" s="1"/>
  <c r="GR65" i="2" s="1"/>
  <c r="BC65" i="9"/>
  <c r="EZ65" i="2" s="1"/>
  <c r="GT52" i="2"/>
  <c r="GR10" i="2"/>
  <c r="GW10" i="2"/>
  <c r="GV10" i="2"/>
  <c r="GX10" i="2"/>
  <c r="GW29" i="2"/>
  <c r="GX29" i="2" s="1"/>
  <c r="GV29" i="2"/>
  <c r="GU49" i="2"/>
  <c r="GW49" i="2"/>
  <c r="GJ24" i="2"/>
  <c r="GN24" i="2"/>
  <c r="EB62" i="2"/>
  <c r="BD63" i="9"/>
  <c r="FA62" i="2" s="1"/>
  <c r="EV63" i="2"/>
  <c r="GQ63" i="2" s="1"/>
  <c r="BD64" i="9"/>
  <c r="FA63" i="2" s="1"/>
  <c r="EB67" i="2"/>
  <c r="GG67" i="2" s="1"/>
  <c r="BD67" i="9"/>
  <c r="FA67" i="2" s="1"/>
  <c r="EF67" i="2"/>
  <c r="GH67" i="2" s="1"/>
  <c r="BC67" i="9"/>
  <c r="EZ67" i="2" s="1"/>
  <c r="GU27" i="2"/>
  <c r="GS27" i="2"/>
  <c r="GT27" i="2"/>
  <c r="EQ18" i="2"/>
  <c r="GJ18" i="2" s="1"/>
  <c r="BD18" i="9"/>
  <c r="FA18" i="2" s="1"/>
  <c r="GG18" i="2"/>
  <c r="GP23" i="2"/>
  <c r="GL23" i="2"/>
  <c r="GS23" i="2" s="1"/>
  <c r="GS41" i="2"/>
  <c r="GT41" i="2"/>
  <c r="GU41" i="2"/>
  <c r="GR41" i="2"/>
  <c r="GX41" i="2"/>
  <c r="GV41" i="2"/>
  <c r="GW41" i="2"/>
  <c r="GN62" i="2"/>
  <c r="GH62" i="2"/>
  <c r="EL61" i="2"/>
  <c r="GI61" i="2" s="1"/>
  <c r="BD62" i="9"/>
  <c r="FA61" i="2" s="1"/>
  <c r="EF66" i="2"/>
  <c r="BC66" i="9"/>
  <c r="EZ66" i="2" s="1"/>
  <c r="EG19" i="2"/>
  <c r="GH19" i="2" s="1"/>
  <c r="BD19" i="9"/>
  <c r="FA19" i="2" s="1"/>
  <c r="EA24" i="2"/>
  <c r="BC24" i="9"/>
  <c r="EZ24" i="2" s="1"/>
  <c r="EF22" i="2"/>
  <c r="BC22" i="9"/>
  <c r="EZ22" i="2" s="1"/>
  <c r="BC23" i="9"/>
  <c r="EZ23" i="2" s="1"/>
  <c r="EF23" i="2"/>
  <c r="BD23" i="9"/>
  <c r="FA23" i="2" s="1"/>
  <c r="EB23" i="2"/>
  <c r="GF24" i="2"/>
  <c r="GL24" i="2"/>
  <c r="GO21" i="2"/>
  <c r="GI22" i="2"/>
  <c r="GX20" i="2"/>
  <c r="GS50" i="2"/>
  <c r="DW22" i="2"/>
  <c r="BD22" i="9"/>
  <c r="FA22" i="2" s="1"/>
  <c r="GI24" i="2"/>
  <c r="GO24" i="2"/>
  <c r="DV21" i="2"/>
  <c r="BC21" i="9"/>
  <c r="EZ21" i="2" s="1"/>
  <c r="BD24" i="9"/>
  <c r="FA24" i="2" s="1"/>
  <c r="GI18" i="2"/>
  <c r="GG21" i="2"/>
  <c r="GJ22" i="2"/>
  <c r="BC19" i="9"/>
  <c r="EZ19" i="2" s="1"/>
  <c r="DV19" i="2"/>
  <c r="DV18" i="2"/>
  <c r="BC18" i="9"/>
  <c r="EZ18" i="2" s="1"/>
  <c r="GG19" i="2"/>
  <c r="GI23" i="2"/>
  <c r="GO23" i="2"/>
  <c r="GQ24" i="2"/>
  <c r="EG20" i="2"/>
  <c r="BD20" i="9"/>
  <c r="FA20" i="2" s="1"/>
  <c r="GH21" i="2"/>
  <c r="B37" i="9" l="1"/>
  <c r="GK49" i="2"/>
  <c r="GK48" i="2"/>
  <c r="G47" i="10"/>
  <c r="C45" i="10"/>
  <c r="G45" i="10"/>
  <c r="J48" i="10"/>
  <c r="C47" i="10"/>
  <c r="G44" i="10"/>
  <c r="D36" i="10"/>
  <c r="E36" i="10"/>
  <c r="GK22" i="2"/>
  <c r="E37" i="10"/>
  <c r="J43" i="10"/>
  <c r="C43" i="10"/>
  <c r="J47" i="10"/>
  <c r="C46" i="10"/>
  <c r="G43" i="10"/>
  <c r="D34" i="10"/>
  <c r="F34" i="10" s="1"/>
  <c r="GH44" i="2"/>
  <c r="GN38" i="2"/>
  <c r="GG45" i="2"/>
  <c r="GJ44" i="2"/>
  <c r="B10" i="9"/>
  <c r="C11" i="9"/>
  <c r="GU31" i="2"/>
  <c r="GW31" i="2"/>
  <c r="GX31" i="2" s="1"/>
  <c r="GS31" i="2"/>
  <c r="GT31" i="2"/>
  <c r="GV31" i="2"/>
  <c r="GR31" i="2"/>
  <c r="GK63" i="2"/>
  <c r="BD38" i="9"/>
  <c r="FA38" i="2" s="1"/>
  <c r="GI37" i="2"/>
  <c r="GG34" i="2"/>
  <c r="GW20" i="2"/>
  <c r="GH20" i="2"/>
  <c r="E34" i="10"/>
  <c r="GU20" i="2"/>
  <c r="GT20" i="2"/>
  <c r="GV20" i="2"/>
  <c r="GV63" i="2"/>
  <c r="GW61" i="2"/>
  <c r="GH16" i="2"/>
  <c r="GP17" i="2"/>
  <c r="GI45" i="2"/>
  <c r="GQ38" i="2"/>
  <c r="GG44" i="2"/>
  <c r="GK21" i="2"/>
  <c r="GK53" i="2"/>
  <c r="GK18" i="2"/>
  <c r="GF61" i="2"/>
  <c r="GL51" i="2"/>
  <c r="GF51" i="2"/>
  <c r="GL53" i="2"/>
  <c r="GF53" i="2"/>
  <c r="GO17" i="2"/>
  <c r="GK61" i="2"/>
  <c r="GK62" i="2"/>
  <c r="GX61" i="2"/>
  <c r="BD40" i="9"/>
  <c r="FA34" i="2" s="1"/>
  <c r="GU63" i="2"/>
  <c r="GG17" i="2"/>
  <c r="GO16" i="2"/>
  <c r="GG16" i="2"/>
  <c r="GP16" i="2"/>
  <c r="GP34" i="2"/>
  <c r="GW63" i="2"/>
  <c r="GI32" i="2"/>
  <c r="GM17" i="2"/>
  <c r="BD17" i="9"/>
  <c r="FA17" i="2" s="1"/>
  <c r="DW17" i="2"/>
  <c r="GL64" i="2"/>
  <c r="GF64" i="2"/>
  <c r="BD39" i="9"/>
  <c r="FA40" i="2" s="1"/>
  <c r="DW40" i="2"/>
  <c r="BC38" i="9"/>
  <c r="EZ38" i="2" s="1"/>
  <c r="GK38" i="2" s="1"/>
  <c r="DV38" i="2"/>
  <c r="GS39" i="2"/>
  <c r="GT39" i="2" s="1"/>
  <c r="GU39" i="2" s="1"/>
  <c r="GV39" i="2" s="1"/>
  <c r="GW39" i="2" s="1"/>
  <c r="GX39" i="2" s="1"/>
  <c r="GR39" i="2"/>
  <c r="GH35" i="2"/>
  <c r="GQ34" i="2"/>
  <c r="GX34" i="2" s="1"/>
  <c r="GM38" i="2"/>
  <c r="DV36" i="2"/>
  <c r="GL36" i="2" s="1"/>
  <c r="BC36" i="9"/>
  <c r="EZ36" i="2" s="1"/>
  <c r="GH38" i="2"/>
  <c r="DW39" i="2"/>
  <c r="GF39" i="2" s="1"/>
  <c r="BD44" i="9"/>
  <c r="FA39" i="2" s="1"/>
  <c r="GK39" i="2" s="1"/>
  <c r="GH37" i="2"/>
  <c r="GJ36" i="2"/>
  <c r="GG36" i="2"/>
  <c r="GF63" i="2"/>
  <c r="GK20" i="2"/>
  <c r="GT63" i="2"/>
  <c r="DW32" i="2"/>
  <c r="BD32" i="9"/>
  <c r="FA32" i="2" s="1"/>
  <c r="GH32" i="2"/>
  <c r="GJ32" i="2"/>
  <c r="DW16" i="2"/>
  <c r="BD16" i="9"/>
  <c r="FA16" i="2" s="1"/>
  <c r="GQ16" i="2"/>
  <c r="GI16" i="2"/>
  <c r="GI17" i="2"/>
  <c r="DV16" i="2"/>
  <c r="BC16" i="9"/>
  <c r="EZ16" i="2" s="1"/>
  <c r="BC17" i="9"/>
  <c r="EZ17" i="2" s="1"/>
  <c r="DV17" i="2"/>
  <c r="GJ17" i="2"/>
  <c r="GM16" i="2"/>
  <c r="GJ16" i="2"/>
  <c r="DV43" i="2"/>
  <c r="GL43" i="2" s="1"/>
  <c r="BC43" i="9"/>
  <c r="EZ43" i="2" s="1"/>
  <c r="DV45" i="2"/>
  <c r="BC45" i="9"/>
  <c r="EZ45" i="2" s="1"/>
  <c r="GJ35" i="2"/>
  <c r="GG40" i="2"/>
  <c r="BC41" i="9"/>
  <c r="EZ35" i="2" s="1"/>
  <c r="DV35" i="2"/>
  <c r="GJ34" i="2"/>
  <c r="DW36" i="2"/>
  <c r="BD36" i="9"/>
  <c r="FA36" i="2" s="1"/>
  <c r="GG43" i="2"/>
  <c r="GQ35" i="2"/>
  <c r="GX35" i="2" s="1"/>
  <c r="DV37" i="2"/>
  <c r="GL37" i="2" s="1"/>
  <c r="BC37" i="9"/>
  <c r="EZ37" i="2" s="1"/>
  <c r="GM34" i="2"/>
  <c r="F33" i="10" s="1"/>
  <c r="GO35" i="2"/>
  <c r="GM35" i="2"/>
  <c r="GH36" i="2"/>
  <c r="DV32" i="2"/>
  <c r="GL32" i="2" s="1"/>
  <c r="BC32" i="9"/>
  <c r="EZ32" i="2" s="1"/>
  <c r="GQ17" i="2"/>
  <c r="GH17" i="2"/>
  <c r="GN17" i="2"/>
  <c r="GN16" i="2"/>
  <c r="DV44" i="2"/>
  <c r="GL44" i="2" s="1"/>
  <c r="BC42" i="9"/>
  <c r="EZ44" i="2" s="1"/>
  <c r="BD43" i="9"/>
  <c r="FA43" i="2" s="1"/>
  <c r="DW43" i="2"/>
  <c r="GF43" i="2" s="1"/>
  <c r="BD45" i="9"/>
  <c r="FA45" i="2" s="1"/>
  <c r="DW45" i="2"/>
  <c r="BC40" i="9"/>
  <c r="EZ34" i="2" s="1"/>
  <c r="DV34" i="2"/>
  <c r="GR43" i="2"/>
  <c r="GG37" i="2"/>
  <c r="GI43" i="2"/>
  <c r="GH34" i="2"/>
  <c r="GP38" i="2"/>
  <c r="GI40" i="2"/>
  <c r="GJ43" i="2"/>
  <c r="GO38" i="2"/>
  <c r="DW35" i="2"/>
  <c r="E32" i="10" s="1"/>
  <c r="BD41" i="9"/>
  <c r="FA35" i="2" s="1"/>
  <c r="DW44" i="2"/>
  <c r="BD42" i="9"/>
  <c r="FA44" i="2" s="1"/>
  <c r="GH39" i="2"/>
  <c r="DW37" i="2"/>
  <c r="GF37" i="2" s="1"/>
  <c r="BD37" i="9"/>
  <c r="FA37" i="2" s="1"/>
  <c r="BC39" i="9"/>
  <c r="EZ40" i="2" s="1"/>
  <c r="DV40" i="2"/>
  <c r="GL40" i="2" s="1"/>
  <c r="GK24" i="2"/>
  <c r="GH59" i="2"/>
  <c r="GN59" i="2"/>
  <c r="GR59" i="2" s="1"/>
  <c r="GF38" i="2"/>
  <c r="GL38" i="2"/>
  <c r="GF62" i="2"/>
  <c r="GL62" i="2"/>
  <c r="GS62" i="2" s="1"/>
  <c r="GM50" i="2"/>
  <c r="GG50" i="2"/>
  <c r="GI34" i="2"/>
  <c r="GO34" i="2"/>
  <c r="F35" i="10" s="1"/>
  <c r="GS61" i="2"/>
  <c r="GR61" i="2"/>
  <c r="GU61" i="2"/>
  <c r="GT61" i="2"/>
  <c r="GV61" i="2"/>
  <c r="GU67" i="2"/>
  <c r="GM67" i="2"/>
  <c r="GK65" i="2"/>
  <c r="GH52" i="2"/>
  <c r="GN52" i="2"/>
  <c r="GT64" i="2"/>
  <c r="GU64" i="2"/>
  <c r="GM39" i="2"/>
  <c r="GG39" i="2"/>
  <c r="GT48" i="2"/>
  <c r="GW48" i="2"/>
  <c r="GV48" i="2"/>
  <c r="GX48" i="2"/>
  <c r="GS48" i="2"/>
  <c r="GU48" i="2"/>
  <c r="GR48" i="2"/>
  <c r="GS54" i="2"/>
  <c r="GT54" i="2" s="1"/>
  <c r="GU54" i="2" s="1"/>
  <c r="GW54" i="2"/>
  <c r="GR54" i="2"/>
  <c r="GV54" i="2"/>
  <c r="GX54" i="2"/>
  <c r="GK67" i="2"/>
  <c r="GW55" i="2"/>
  <c r="GX55" i="2"/>
  <c r="GT55" i="2"/>
  <c r="GU55" i="2"/>
  <c r="GR55" i="2"/>
  <c r="GV55" i="2"/>
  <c r="GK23" i="2"/>
  <c r="GM62" i="2"/>
  <c r="GG62" i="2"/>
  <c r="GN66" i="2"/>
  <c r="GH66" i="2"/>
  <c r="GX63" i="2"/>
  <c r="GR63" i="2"/>
  <c r="GK66" i="2"/>
  <c r="GX65" i="2"/>
  <c r="GL21" i="2"/>
  <c r="GF21" i="2"/>
  <c r="GS24" i="2"/>
  <c r="GM24" i="2"/>
  <c r="GX24" i="2" s="1"/>
  <c r="GG24" i="2"/>
  <c r="GL18" i="2"/>
  <c r="GF18" i="2"/>
  <c r="GF22" i="2"/>
  <c r="GL22" i="2"/>
  <c r="GN23" i="2"/>
  <c r="GH23" i="2"/>
  <c r="GH22" i="2"/>
  <c r="GN22" i="2"/>
  <c r="GK19" i="2"/>
  <c r="GL19" i="2"/>
  <c r="GF19" i="2"/>
  <c r="GG23" i="2"/>
  <c r="GM23" i="2"/>
  <c r="F36" i="10" l="1"/>
  <c r="F37" i="10"/>
  <c r="GL34" i="2"/>
  <c r="GR34" i="2" s="1"/>
  <c r="D32" i="10"/>
  <c r="D38" i="10" s="1"/>
  <c r="E38" i="10"/>
  <c r="GF35" i="2"/>
  <c r="GK45" i="2"/>
  <c r="GL17" i="2"/>
  <c r="GR17" i="2" s="1"/>
  <c r="GK34" i="2"/>
  <c r="GK44" i="2"/>
  <c r="GF44" i="2"/>
  <c r="GK43" i="2"/>
  <c r="GK35" i="2"/>
  <c r="C12" i="9"/>
  <c r="B11" i="9"/>
  <c r="GK37" i="2"/>
  <c r="GS53" i="2"/>
  <c r="GX53" i="2"/>
  <c r="GV53" i="2"/>
  <c r="GU53" i="2"/>
  <c r="GT53" i="2"/>
  <c r="GR53" i="2"/>
  <c r="GW53" i="2"/>
  <c r="GK16" i="2"/>
  <c r="GT51" i="2"/>
  <c r="GU51" i="2"/>
  <c r="GX51" i="2"/>
  <c r="GV51" i="2"/>
  <c r="GW51" i="2"/>
  <c r="GS51" i="2"/>
  <c r="GR51" i="2"/>
  <c r="GK36" i="2"/>
  <c r="GF36" i="2"/>
  <c r="GF45" i="2"/>
  <c r="GL45" i="2"/>
  <c r="GF32" i="2"/>
  <c r="GF40" i="2"/>
  <c r="GS64" i="2"/>
  <c r="GR64" i="2"/>
  <c r="GW64" i="2"/>
  <c r="GX64" i="2"/>
  <c r="GV64" i="2"/>
  <c r="GS40" i="2"/>
  <c r="GT40" i="2" s="1"/>
  <c r="GU40" i="2" s="1"/>
  <c r="GV40" i="2" s="1"/>
  <c r="GW40" i="2" s="1"/>
  <c r="GX40" i="2"/>
  <c r="GR40" i="2"/>
  <c r="GR44" i="2"/>
  <c r="GS44" i="2"/>
  <c r="GT44" i="2" s="1"/>
  <c r="GU44" i="2" s="1"/>
  <c r="GV44" i="2" s="1"/>
  <c r="GW44" i="2" s="1"/>
  <c r="GX44" i="2" s="1"/>
  <c r="GR32" i="2"/>
  <c r="GU32" i="2"/>
  <c r="GS32" i="2"/>
  <c r="GT32" i="2" s="1"/>
  <c r="GX32" i="2"/>
  <c r="GW32" i="2"/>
  <c r="GV32" i="2"/>
  <c r="GX37" i="2"/>
  <c r="GS37" i="2"/>
  <c r="GT37" i="2" s="1"/>
  <c r="GU37" i="2" s="1"/>
  <c r="GV37" i="2" s="1"/>
  <c r="GW37" i="2" s="1"/>
  <c r="GR37" i="2"/>
  <c r="GL35" i="2"/>
  <c r="GK40" i="2"/>
  <c r="GF17" i="2"/>
  <c r="GS43" i="2"/>
  <c r="GT43" i="2" s="1"/>
  <c r="GU43" i="2" s="1"/>
  <c r="GV43" i="2" s="1"/>
  <c r="GW43" i="2" s="1"/>
  <c r="GX43" i="2" s="1"/>
  <c r="GL16" i="2"/>
  <c r="GF16" i="2"/>
  <c r="GK32" i="2"/>
  <c r="GS36" i="2"/>
  <c r="GT36" i="2" s="1"/>
  <c r="GU36" i="2" s="1"/>
  <c r="GV36" i="2" s="1"/>
  <c r="GW36" i="2" s="1"/>
  <c r="GR36" i="2"/>
  <c r="GX36" i="2"/>
  <c r="GF34" i="2"/>
  <c r="GK17" i="2"/>
  <c r="GR52" i="2"/>
  <c r="GW52" i="2"/>
  <c r="GU52" i="2"/>
  <c r="GV52" i="2"/>
  <c r="GX52" i="2"/>
  <c r="GR50" i="2"/>
  <c r="GX50" i="2"/>
  <c r="GW50" i="2"/>
  <c r="GU50" i="2"/>
  <c r="GV50" i="2"/>
  <c r="GT50" i="2"/>
  <c r="GR38" i="2"/>
  <c r="GS38" i="2"/>
  <c r="GT38" i="2" s="1"/>
  <c r="GU38" i="2" s="1"/>
  <c r="GV38" i="2" s="1"/>
  <c r="GW38" i="2" s="1"/>
  <c r="GX38" i="2" s="1"/>
  <c r="GV67" i="2"/>
  <c r="GN67" i="2"/>
  <c r="GR62" i="2"/>
  <c r="GT62" i="2"/>
  <c r="GV62" i="2"/>
  <c r="GX62" i="2"/>
  <c r="GU62" i="2"/>
  <c r="GW62" i="2"/>
  <c r="GR66" i="2"/>
  <c r="GX66" i="2"/>
  <c r="GV66" i="2"/>
  <c r="GU66" i="2"/>
  <c r="GW66" i="2"/>
  <c r="GS22" i="2"/>
  <c r="GT22" i="2" s="1"/>
  <c r="GU22" i="2" s="1"/>
  <c r="GV22" i="2" s="1"/>
  <c r="GW22" i="2" s="1"/>
  <c r="GX22" i="2" s="1"/>
  <c r="GR22" i="2"/>
  <c r="GX18" i="2"/>
  <c r="GR18" i="2"/>
  <c r="GW18" i="2"/>
  <c r="GS18" i="2"/>
  <c r="GT18" i="2" s="1"/>
  <c r="GU18" i="2" s="1"/>
  <c r="GV18" i="2" s="1"/>
  <c r="GT24" i="2"/>
  <c r="GR24" i="2"/>
  <c r="GT23" i="2"/>
  <c r="GX23" i="2"/>
  <c r="GW23" i="2"/>
  <c r="GU23" i="2"/>
  <c r="GR23" i="2"/>
  <c r="GV23" i="2"/>
  <c r="GT19" i="2"/>
  <c r="GS19" i="2"/>
  <c r="GU19" i="2"/>
  <c r="GX19" i="2"/>
  <c r="GR19" i="2"/>
  <c r="GV19" i="2"/>
  <c r="GW19" i="2"/>
  <c r="GV24" i="2"/>
  <c r="GW24" i="2"/>
  <c r="GU24" i="2"/>
  <c r="GR21" i="2"/>
  <c r="GU21" i="2"/>
  <c r="GX21" i="2"/>
  <c r="GT21" i="2"/>
  <c r="GS21" i="2"/>
  <c r="GW21" i="2"/>
  <c r="GV21" i="2"/>
  <c r="GX17" i="2" l="1"/>
  <c r="GS17" i="2"/>
  <c r="GU17" i="2"/>
  <c r="G32" i="10"/>
  <c r="F32" i="10"/>
  <c r="GS34" i="2"/>
  <c r="GT34" i="2" s="1"/>
  <c r="GT17" i="2"/>
  <c r="F38" i="10"/>
  <c r="GV17" i="2"/>
  <c r="GW17" i="2"/>
  <c r="B12" i="9"/>
  <c r="C13" i="9"/>
  <c r="B13" i="9" s="1"/>
  <c r="GR35" i="2"/>
  <c r="GS35" i="2"/>
  <c r="GT35" i="2" s="1"/>
  <c r="GU35" i="2" s="1"/>
  <c r="GV35" i="2" s="1"/>
  <c r="GW35" i="2" s="1"/>
  <c r="GS16" i="2"/>
  <c r="GW16" i="2"/>
  <c r="GR16" i="2"/>
  <c r="GV16" i="2"/>
  <c r="GT16" i="2"/>
  <c r="GX16" i="2"/>
  <c r="GU16" i="2"/>
  <c r="GR45" i="2"/>
  <c r="GV45" i="2"/>
  <c r="GW45" i="2"/>
  <c r="GU45" i="2"/>
  <c r="GS45" i="2"/>
  <c r="GT45" i="2" s="1"/>
  <c r="GX45" i="2"/>
  <c r="GW67" i="2"/>
  <c r="GO67" i="2"/>
  <c r="GU34" i="2" l="1"/>
  <c r="G33" i="10"/>
  <c r="GP67" i="2"/>
  <c r="GX67" i="2"/>
  <c r="GQ67" i="2" s="1"/>
  <c r="GR67" i="2" s="1"/>
  <c r="GV34" i="2" l="1"/>
  <c r="G34" i="10"/>
  <c r="GW34" i="2" l="1"/>
  <c r="G35" i="10"/>
  <c r="G37" i="10" l="1"/>
  <c r="G36" i="10"/>
  <c r="G38" i="10" l="1"/>
</calcChain>
</file>

<file path=xl/sharedStrings.xml><?xml version="1.0" encoding="utf-8"?>
<sst xmlns="http://schemas.openxmlformats.org/spreadsheetml/2006/main" count="12900" uniqueCount="2594">
  <si>
    <t>Herramienta de Programación y Seguimiento a los Planes Institucionales</t>
  </si>
  <si>
    <t>Indicaciones</t>
  </si>
  <si>
    <t>Alcaldía Mayor de Bogotá</t>
  </si>
  <si>
    <t>Secretaría General</t>
  </si>
  <si>
    <t>1. Para ir a la hoja de indicaciones</t>
  </si>
  <si>
    <t>2. Para ir a la Hoja de Vida de Indicador - Visor (Plurianualidad)</t>
  </si>
  <si>
    <t>3. Para ir a la Ficha de Seguimiento Indicador - Visor (anualidad)</t>
  </si>
  <si>
    <t>4. Para ir a la hoja de reporte:</t>
  </si>
  <si>
    <t>PAAC - Plan Anticorrupción y de Atención al Ciudadano</t>
  </si>
  <si>
    <t>Oficinas y procesos asociados</t>
  </si>
  <si>
    <t>Oficinas consejerías y procesos asociados</t>
  </si>
  <si>
    <t>Subsecretaría técnica y procesos asociados</t>
  </si>
  <si>
    <t>Subsecretaría de servicio a la ciudadanía y procesos asociados</t>
  </si>
  <si>
    <t>Subsecretaría corporativa y procesos asociados</t>
  </si>
  <si>
    <t>Sugerencias para 2020-2</t>
  </si>
  <si>
    <t>"Y quisiera saber si dado que las actividades no tienen visor para el monitoreo, si es posible mejorar la manera en que estás se encuentran al interior de cada hoja de proyecto de inversión, es decir si puede estar la programación y avance en un mismo espacio visual.: Esto lo miramos  para nuestra nueva versión de herramienta segundo semestre 2020."</t>
  </si>
  <si>
    <t>Responsables</t>
  </si>
  <si>
    <t>criterios retro</t>
  </si>
  <si>
    <t>DEPENDENCIA</t>
  </si>
  <si>
    <t>CARGO</t>
  </si>
  <si>
    <t>JEFE RESPONSABLE</t>
  </si>
  <si>
    <t>Proyecto de Inversión</t>
  </si>
  <si>
    <t>Nombre Proyecto de Inversión</t>
  </si>
  <si>
    <t>Gerente del Proyecto</t>
  </si>
  <si>
    <t>Responsable Seguimiento</t>
  </si>
  <si>
    <t>Indirecto</t>
  </si>
  <si>
    <t>Retro1</t>
  </si>
  <si>
    <t>Retro2</t>
  </si>
  <si>
    <t>Retro3</t>
  </si>
  <si>
    <t>Retro4</t>
  </si>
  <si>
    <t>C1</t>
  </si>
  <si>
    <t>C2</t>
  </si>
  <si>
    <t>C3</t>
  </si>
  <si>
    <t>C4</t>
  </si>
  <si>
    <t>C5</t>
  </si>
  <si>
    <t>C6</t>
  </si>
  <si>
    <t>C7</t>
  </si>
  <si>
    <t>C8</t>
  </si>
  <si>
    <t>C9</t>
  </si>
  <si>
    <t>Oficina de Tecnologías de la Información y las Comunicaciones</t>
  </si>
  <si>
    <t>Jefe Oficina de Tecnologías de la Información y las Comunicaciones</t>
  </si>
  <si>
    <t>Oscar Javier Asprilla Cruz</t>
  </si>
  <si>
    <t>NA</t>
  </si>
  <si>
    <t>Rediseño de la arquitectura de la plataforma tecnológica en la Secretaría General</t>
  </si>
  <si>
    <t>Fanny Gonzalez R</t>
  </si>
  <si>
    <t>oti</t>
  </si>
  <si>
    <t>Sebastián Malpica</t>
  </si>
  <si>
    <t>Cumplimiento recomendaciones OAP</t>
  </si>
  <si>
    <t>Avance Cuantitativo Periodo</t>
  </si>
  <si>
    <t>Avance cualitativo :: Suficiencia</t>
  </si>
  <si>
    <t>Descripción del indicador Vs. El informe narrativo :: Coherencia</t>
  </si>
  <si>
    <t>Informe narrativo Vs. Avance cuantitativo</t>
  </si>
  <si>
    <t>Dificultades descritas en el informe narrativo Vs. Avance cuantitativo</t>
  </si>
  <si>
    <t>Avance de las actividades Vs. Las observaciones</t>
  </si>
  <si>
    <t>Soportes presentados Vs. el avance del indicador :: Coherencia</t>
  </si>
  <si>
    <t>Oportunidad en el reporte de información</t>
  </si>
  <si>
    <t>Dirección Distrital de Relaciones Internacionales</t>
  </si>
  <si>
    <t>Directora Distrital de Relaciones Internacionales</t>
  </si>
  <si>
    <t>Luz Amparo Medina Gerena</t>
  </si>
  <si>
    <t>Lo mejor del mundo por una Bogotá para todos</t>
  </si>
  <si>
    <t>Carlos Alberto Minotta Moncada</t>
  </si>
  <si>
    <t>dri</t>
  </si>
  <si>
    <t>Diego Daza</t>
  </si>
  <si>
    <t>Cumple</t>
  </si>
  <si>
    <t>Anticipado</t>
  </si>
  <si>
    <t>Adecuado</t>
  </si>
  <si>
    <t>Coherente</t>
  </si>
  <si>
    <t>Concuerda</t>
  </si>
  <si>
    <t>Relación directa</t>
  </si>
  <si>
    <t>Oportuna</t>
  </si>
  <si>
    <t>Oficina Alta Consejería Distrital de Tecnologías de Información y Comunicaciones - TIC</t>
  </si>
  <si>
    <t>Alto Consejero Distrital de Tecnologías de Información y Comunicaciones - TIC</t>
  </si>
  <si>
    <t>Felipe Guzman Ramirez</t>
  </si>
  <si>
    <t>Fortalecimiento de la economía, el gobierno y la ciudad digital de Bogotá D. C.</t>
  </si>
  <si>
    <t>Luisa Fernanda Ortega Galeano</t>
  </si>
  <si>
    <t>ati</t>
  </si>
  <si>
    <t>No cumple</t>
  </si>
  <si>
    <t>Cumplido</t>
  </si>
  <si>
    <t>No adecuado</t>
  </si>
  <si>
    <t>Incoherente</t>
  </si>
  <si>
    <t>Difiere</t>
  </si>
  <si>
    <t>Sin relación</t>
  </si>
  <si>
    <t>No oportuna</t>
  </si>
  <si>
    <t>Subsecretaría Técnica</t>
  </si>
  <si>
    <t>Subsecretaria Técnica</t>
  </si>
  <si>
    <t>Gloria Patricia Rincón Mazo</t>
  </si>
  <si>
    <t>Fortalecimiento y modernización de la gestión pública distrital</t>
  </si>
  <si>
    <t>Andrés Andrade Ceballos</t>
  </si>
  <si>
    <t>tec</t>
  </si>
  <si>
    <t>Yuri Galindo</t>
  </si>
  <si>
    <t>No aplica</t>
  </si>
  <si>
    <t>Satisfactorio</t>
  </si>
  <si>
    <t>Indeterminado</t>
  </si>
  <si>
    <t xml:space="preserve">Dirección Distrital de Archivo </t>
  </si>
  <si>
    <t>Director Distrital de Archivo</t>
  </si>
  <si>
    <t>Alvaro Arias Cruz</t>
  </si>
  <si>
    <t>Heidy Giovanna Araméndiz Pacheco</t>
  </si>
  <si>
    <t>arc</t>
  </si>
  <si>
    <t>Aceptable</t>
  </si>
  <si>
    <t>Dirección Distrital de Desarrollo Institucional</t>
  </si>
  <si>
    <t>Director Distrital de Desarrollo Institucional</t>
  </si>
  <si>
    <t>Oscar Guillermo Niño</t>
  </si>
  <si>
    <t xml:space="preserve">Lady Mayerly Nieto </t>
  </si>
  <si>
    <t>ddi</t>
  </si>
  <si>
    <t>Insuficiente</t>
  </si>
  <si>
    <t>Oficina Asesora de Planeación</t>
  </si>
  <si>
    <t>Jefe Oficina Asesora de Planeación</t>
  </si>
  <si>
    <t>Alexandra Cecilia Rivera Pardo</t>
  </si>
  <si>
    <t>Jorge Eduardo Ruiz Vaca</t>
  </si>
  <si>
    <t>oap</t>
  </si>
  <si>
    <t>Deficiente</t>
  </si>
  <si>
    <t>Subdirección de Imprenta Distrital</t>
  </si>
  <si>
    <t>Subdirector de Imprenta Distrital</t>
  </si>
  <si>
    <t>Carmen Victoria Forero Polo</t>
  </si>
  <si>
    <t xml:space="preserve">Julio Roberto Garzón </t>
  </si>
  <si>
    <t>imp</t>
  </si>
  <si>
    <t>No programó</t>
  </si>
  <si>
    <t>Subdirección de Servicios Administrativos</t>
  </si>
  <si>
    <t>Subdirectora de Servicios Administrativos</t>
  </si>
  <si>
    <t>Marcela Manrique Castro</t>
  </si>
  <si>
    <t>Andrea Fernanda Quimbayo</t>
  </si>
  <si>
    <t>ssa</t>
  </si>
  <si>
    <t>Subsecretaría Corporativa</t>
  </si>
  <si>
    <t>Subsecretaria Corporativo</t>
  </si>
  <si>
    <t>Maria Clemencia Pérez Uribe</t>
  </si>
  <si>
    <t>Erika Paola Robayo Castillo</t>
  </si>
  <si>
    <t>sco</t>
  </si>
  <si>
    <t>Subsecretaría de Servicio a la Ciudadanía</t>
  </si>
  <si>
    <t xml:space="preserve">
Subsecretaria de Servicio a la Ciudadanía</t>
  </si>
  <si>
    <t>Diana Marcela Velasco Rincón</t>
  </si>
  <si>
    <t>Implementación de un nuevo enfoque de servicio a la ciudadanía</t>
  </si>
  <si>
    <t>Diana Carolina Avila Morales</t>
  </si>
  <si>
    <t>sci</t>
  </si>
  <si>
    <t>Esneider Bernal</t>
  </si>
  <si>
    <t>Dirección Administrativa y Financiera</t>
  </si>
  <si>
    <t>Directora Administrativa y Financiera</t>
  </si>
  <si>
    <t>Gina Alexandra Vaca Linares</t>
  </si>
  <si>
    <t>Infraestructura adecuada para todos en la Secretaría General</t>
  </si>
  <si>
    <t>Yenly Johanna Alonso Buitrago</t>
  </si>
  <si>
    <t>daf</t>
  </si>
  <si>
    <t>Oficina Consejería de Comunicaciones</t>
  </si>
  <si>
    <t>Jefe Oficina Consejería de Comunicaciones</t>
  </si>
  <si>
    <t>Glenda Martinez Osorio</t>
  </si>
  <si>
    <t>Comunicación para fortalecer las instituciones y acercar a la ciudadanía a la Alcaldía Mayor de Bogotá</t>
  </si>
  <si>
    <t>Yenny Vanessa Zabaleta Durán</t>
  </si>
  <si>
    <t>occ</t>
  </si>
  <si>
    <t>Oficina Alta Consejería para los Derechos de las Víctimas, la Paz y la Reconciliación</t>
  </si>
  <si>
    <t>Alto Consejero para los Derechos de las Víctimas, la Paz y la Reconciliación</t>
  </si>
  <si>
    <t>Carlos Vladimir Rodriguez Valencia</t>
  </si>
  <si>
    <t>Bogotá Mejor para las víctimas, la paz y la reconciliación</t>
  </si>
  <si>
    <t xml:space="preserve">Alexander Castro Rivera </t>
  </si>
  <si>
    <t>oav</t>
  </si>
  <si>
    <t>Subsecretaría Corporativa - Nuevo CAD</t>
  </si>
  <si>
    <t>Nuevo CAD</t>
  </si>
  <si>
    <t>cad</t>
  </si>
  <si>
    <t>Oficina Asesora de Jurídica</t>
  </si>
  <si>
    <t>Jefe Oficina Asesora de Jurídica</t>
  </si>
  <si>
    <t>Luz Karime Fernández Castillo</t>
  </si>
  <si>
    <t>oaj</t>
  </si>
  <si>
    <t>Oficina de Control Interno</t>
  </si>
  <si>
    <t>Jefe de Oficina de Control Interno</t>
  </si>
  <si>
    <t>Jorge Eliécer Gómez Quintero</t>
  </si>
  <si>
    <t>oci</t>
  </si>
  <si>
    <t>Oficina de Control Interno Disciplinario</t>
  </si>
  <si>
    <t>Jefe Oficina de Control Interno Disciplinario</t>
  </si>
  <si>
    <t>Heidy Yobana Moreno Moreno</t>
  </si>
  <si>
    <t>ocd</t>
  </si>
  <si>
    <t>Oficina de Protocolo</t>
  </si>
  <si>
    <t>Jefe Oficina de Protocolo</t>
  </si>
  <si>
    <t>Liliana Henao Arteaga</t>
  </si>
  <si>
    <t>pro</t>
  </si>
  <si>
    <t>Subdirección de Proyección Internacional</t>
  </si>
  <si>
    <t xml:space="preserve">Subdirectora de Proyección Internacional </t>
  </si>
  <si>
    <t>Andrea Laverde Quintero</t>
  </si>
  <si>
    <t>spi</t>
  </si>
  <si>
    <t>Subdirección del Sistema Distrital de Archivos</t>
  </si>
  <si>
    <t xml:space="preserve">Subdirector del Sistema Distrital de Archivos </t>
  </si>
  <si>
    <t>Julio Alberto Parra Acosta</t>
  </si>
  <si>
    <t>sar</t>
  </si>
  <si>
    <t>Subdirección Técnica de Archivo</t>
  </si>
  <si>
    <t>Subdirector Técnico de Archivo</t>
  </si>
  <si>
    <t>Luis Argemiro Malambo</t>
  </si>
  <si>
    <t>sta</t>
  </si>
  <si>
    <t>Dirección Distrital de Calidad del Servicio</t>
  </si>
  <si>
    <t>Director Distrital de Calidad del Servicio</t>
  </si>
  <si>
    <t>Dorían de Jesús Coquies Maestre</t>
  </si>
  <si>
    <t>cal</t>
  </si>
  <si>
    <t>Subdirección de Seguimiento a la  Gestión de Inspección, Vigilancia y  Control</t>
  </si>
  <si>
    <t>Subdirector de Seguimiento a la  Gestión de Inspección, Vigilancia y  Control</t>
  </si>
  <si>
    <t>Edgar Henry Pacheco Vargas</t>
  </si>
  <si>
    <t>ivc</t>
  </si>
  <si>
    <t>Subdirección Financiera</t>
  </si>
  <si>
    <t>Subdirector Financiero</t>
  </si>
  <si>
    <t>Luis Eugenio Herrera Páez</t>
  </si>
  <si>
    <t>fin</t>
  </si>
  <si>
    <t>Dirección de Talento Humano</t>
  </si>
  <si>
    <t>Directora de Talento Humano</t>
  </si>
  <si>
    <t>Ennis Esther Jaramillo Morato</t>
  </si>
  <si>
    <t>dth</t>
  </si>
  <si>
    <t>Subdirección Técnica de Desarrollo Institucional</t>
  </si>
  <si>
    <t>Subdirector Técnico de Desarrollo Institucional</t>
  </si>
  <si>
    <t>Alexandra Arévalo Cuervo</t>
  </si>
  <si>
    <t>std</t>
  </si>
  <si>
    <t>ejemplo</t>
  </si>
  <si>
    <t>Iniciales</t>
  </si>
  <si>
    <t>Clave Junio</t>
  </si>
  <si>
    <t>Nueva Clave Junio</t>
  </si>
  <si>
    <t>Clave Julio</t>
  </si>
  <si>
    <t>PAAC</t>
  </si>
  <si>
    <t>paac</t>
  </si>
  <si>
    <t>paac_336</t>
  </si>
  <si>
    <t>paac_995</t>
  </si>
  <si>
    <t>paac_838</t>
  </si>
  <si>
    <t>Direccionamiento estratégico</t>
  </si>
  <si>
    <t>des</t>
  </si>
  <si>
    <t>des_379</t>
  </si>
  <si>
    <t>des_632</t>
  </si>
  <si>
    <t>des_200</t>
  </si>
  <si>
    <t>Gestión Jurídica</t>
  </si>
  <si>
    <t>jur</t>
  </si>
  <si>
    <t>jur_233</t>
  </si>
  <si>
    <t>jur_733</t>
  </si>
  <si>
    <t>jur_764</t>
  </si>
  <si>
    <t>Evaluación del Sistema de Control Interno</t>
  </si>
  <si>
    <t>eci</t>
  </si>
  <si>
    <t>eci_901</t>
  </si>
  <si>
    <t>eci_323</t>
  </si>
  <si>
    <t>eci_118</t>
  </si>
  <si>
    <t>Control Disciplinario</t>
  </si>
  <si>
    <t>dis</t>
  </si>
  <si>
    <t>dis_985</t>
  </si>
  <si>
    <t>dis_722</t>
  </si>
  <si>
    <t>dis_399</t>
  </si>
  <si>
    <t>opr</t>
  </si>
  <si>
    <t>opr_477</t>
  </si>
  <si>
    <t>opr_827</t>
  </si>
  <si>
    <t>opr_651</t>
  </si>
  <si>
    <t>Estrategia de Tecnologías de la Información y las Comunicaciones</t>
  </si>
  <si>
    <t>tic</t>
  </si>
  <si>
    <t>tic_419</t>
  </si>
  <si>
    <t>tic_706</t>
  </si>
  <si>
    <t>tic_417</t>
  </si>
  <si>
    <t>Gestión, administración y soporte de infraestructura y recursos tecnológicos</t>
  </si>
  <si>
    <t>grt</t>
  </si>
  <si>
    <t>grt_237</t>
  </si>
  <si>
    <t>grt_808</t>
  </si>
  <si>
    <t>grt_369</t>
  </si>
  <si>
    <t>oat</t>
  </si>
  <si>
    <t>oat_280</t>
  </si>
  <si>
    <t>oat_297</t>
  </si>
  <si>
    <t>oat_654</t>
  </si>
  <si>
    <t>Asistencia, atención y reparación integral a víctimas del conflicto armado e implementación de acciones de memoria, paz y reconciliación en Bogotá</t>
  </si>
  <si>
    <t>vic</t>
  </si>
  <si>
    <t>vic_392</t>
  </si>
  <si>
    <t>vic_305</t>
  </si>
  <si>
    <t>vic_517</t>
  </si>
  <si>
    <t>Comunicación Pública</t>
  </si>
  <si>
    <t>com</t>
  </si>
  <si>
    <t>com_239</t>
  </si>
  <si>
    <t>com_536</t>
  </si>
  <si>
    <t>com_218</t>
  </si>
  <si>
    <t>Gestión de la Función Archivística y del patrimonio documental del Distrito Capital</t>
  </si>
  <si>
    <t>gfa</t>
  </si>
  <si>
    <t>gfa_337</t>
  </si>
  <si>
    <t>gfa_787</t>
  </si>
  <si>
    <t>gfa_479</t>
  </si>
  <si>
    <t>Internacionalización de Bogotá</t>
  </si>
  <si>
    <t>int</t>
  </si>
  <si>
    <t>int_890</t>
  </si>
  <si>
    <t>int_179</t>
  </si>
  <si>
    <t>int_242</t>
  </si>
  <si>
    <t>Fortalecimiento de la administración y la gestión pública Distrital</t>
  </si>
  <si>
    <t>for</t>
  </si>
  <si>
    <t>for_167</t>
  </si>
  <si>
    <t>for_638</t>
  </si>
  <si>
    <t>for_616</t>
  </si>
  <si>
    <t>sdi</t>
  </si>
  <si>
    <t>ste</t>
  </si>
  <si>
    <t>ste_457</t>
  </si>
  <si>
    <t>ste_209</t>
  </si>
  <si>
    <t>ste_462</t>
  </si>
  <si>
    <t>Gestión de Políticas públicas Distritales</t>
  </si>
  <si>
    <t>gpp</t>
  </si>
  <si>
    <t>ciu_968</t>
  </si>
  <si>
    <t>ciu_674</t>
  </si>
  <si>
    <t>ciu_687</t>
  </si>
  <si>
    <t>Gestión del Sistema Distrital de servicio a la ciudadanía</t>
  </si>
  <si>
    <t>gsv</t>
  </si>
  <si>
    <t>dcs</t>
  </si>
  <si>
    <t>Contratación</t>
  </si>
  <si>
    <t>con</t>
  </si>
  <si>
    <t>con_302</t>
  </si>
  <si>
    <t>con_642</t>
  </si>
  <si>
    <t>con_459</t>
  </si>
  <si>
    <t>Gestión de seguridad y Salud en el trabajo</t>
  </si>
  <si>
    <t>gss</t>
  </si>
  <si>
    <t>gss_293</t>
  </si>
  <si>
    <t>gss_153</t>
  </si>
  <si>
    <t>gss_563</t>
  </si>
  <si>
    <t>Gestión Estratégica del Talento Humano</t>
  </si>
  <si>
    <t>gth</t>
  </si>
  <si>
    <t>gth_121</t>
  </si>
  <si>
    <t>gth_322</t>
  </si>
  <si>
    <t>gth_708</t>
  </si>
  <si>
    <t>Gestión de Servicios Administrativos</t>
  </si>
  <si>
    <t>gsa</t>
  </si>
  <si>
    <t>gsa_986</t>
  </si>
  <si>
    <t>gsa_183</t>
  </si>
  <si>
    <t>gsa_964</t>
  </si>
  <si>
    <t>Gestión Documental Interna</t>
  </si>
  <si>
    <t>gdi</t>
  </si>
  <si>
    <t>gdi_934</t>
  </si>
  <si>
    <t>gdi_610</t>
  </si>
  <si>
    <t>gdi_580</t>
  </si>
  <si>
    <t>Gestión de Recursos Físicos</t>
  </si>
  <si>
    <t>grf</t>
  </si>
  <si>
    <t>grf_353</t>
  </si>
  <si>
    <t>grf_240</t>
  </si>
  <si>
    <t>grf_629</t>
  </si>
  <si>
    <t>Gestión Financiera</t>
  </si>
  <si>
    <t>gfi</t>
  </si>
  <si>
    <t>gfi_444</t>
  </si>
  <si>
    <t>gfi_467</t>
  </si>
  <si>
    <t>gfi_770</t>
  </si>
  <si>
    <t>de2020</t>
  </si>
  <si>
    <t>ID_GRAL</t>
  </si>
  <si>
    <t>Área o dependencia</t>
  </si>
  <si>
    <t xml:space="preserve">PROCESO: </t>
  </si>
  <si>
    <t>GESTOR DE CALIDAD</t>
  </si>
  <si>
    <t>ENLACE EQUIPO SIG-MIPG</t>
  </si>
  <si>
    <t xml:space="preserve">PAAC_01 </t>
  </si>
  <si>
    <t>Javier Andrés Ruiz Torres</t>
  </si>
  <si>
    <t>Fernando Escobar Mendoza</t>
  </si>
  <si>
    <t xml:space="preserve">PAAC_02 </t>
  </si>
  <si>
    <t>PAAC_03</t>
  </si>
  <si>
    <t>PAAC_04</t>
  </si>
  <si>
    <t>PAAC_05</t>
  </si>
  <si>
    <t>PAAC_06</t>
  </si>
  <si>
    <t>150 (SS)</t>
  </si>
  <si>
    <t>Juan Sebastian Moreno Galindo</t>
  </si>
  <si>
    <t>152D</t>
  </si>
  <si>
    <t>Mónica Viviana Merchán Jiménez</t>
  </si>
  <si>
    <t xml:space="preserve">Jorge Eduardo Ruiz Vaca </t>
  </si>
  <si>
    <t>Sandra Osorio Hoyos</t>
  </si>
  <si>
    <t xml:space="preserve">Cesar Alberto Arcos Tiuso </t>
  </si>
  <si>
    <t>136A</t>
  </si>
  <si>
    <t>160B</t>
  </si>
  <si>
    <t xml:space="preserve">Sandra Patricia Ortiz Barrera </t>
  </si>
  <si>
    <t>Sindy Stephanie Villarreal Ramírez</t>
  </si>
  <si>
    <t>184I</t>
  </si>
  <si>
    <t>184M</t>
  </si>
  <si>
    <t>174A</t>
  </si>
  <si>
    <t xml:space="preserve">Laura Nathalia Cardenas Jimenez </t>
  </si>
  <si>
    <t xml:space="preserve">Marcela Andrea García Guerrero </t>
  </si>
  <si>
    <t>174B</t>
  </si>
  <si>
    <t>174C</t>
  </si>
  <si>
    <t>174D</t>
  </si>
  <si>
    <t>174E</t>
  </si>
  <si>
    <t>10K</t>
  </si>
  <si>
    <t>Jenny Mabel Castañeda Angulo</t>
  </si>
  <si>
    <t>19C</t>
  </si>
  <si>
    <t>Angela Patricia Bayona Cuartas</t>
  </si>
  <si>
    <t xml:space="preserve">Clara Bibiana Rodriguez Gonzalez </t>
  </si>
  <si>
    <t>31P</t>
  </si>
  <si>
    <t>Marysol Vargas Fernandez</t>
  </si>
  <si>
    <t>31Q</t>
  </si>
  <si>
    <t>48A</t>
  </si>
  <si>
    <t>48B</t>
  </si>
  <si>
    <t>48C (SS)</t>
  </si>
  <si>
    <t>42C (SS)</t>
  </si>
  <si>
    <t xml:space="preserve">Edna Rocío Bayona Gómez </t>
  </si>
  <si>
    <t>36A</t>
  </si>
  <si>
    <t>10I</t>
  </si>
  <si>
    <t>Luz Dary Caicedo Sánchez</t>
  </si>
  <si>
    <t>56A</t>
  </si>
  <si>
    <t>María Cristina Vélez Villamarín</t>
  </si>
  <si>
    <t>78A</t>
  </si>
  <si>
    <t>PAAC_43</t>
  </si>
  <si>
    <t>PAAC_47</t>
  </si>
  <si>
    <t>87A</t>
  </si>
  <si>
    <t>María Camila Reyes Cifuentes</t>
  </si>
  <si>
    <t>María Alejandra Boada Rodriguez</t>
  </si>
  <si>
    <t>108C</t>
  </si>
  <si>
    <t>Laura Catalina Cepeda Castillo</t>
  </si>
  <si>
    <t>120B</t>
  </si>
  <si>
    <t>Miguel Alfonso León Acuña</t>
  </si>
  <si>
    <t>Jilmar Hernández Chaparro</t>
  </si>
  <si>
    <t>121 (SS)</t>
  </si>
  <si>
    <t>Diana Cecilia Cuy Rodríguez</t>
  </si>
  <si>
    <t>125A</t>
  </si>
  <si>
    <t>Dependencias</t>
  </si>
  <si>
    <t>Ejecucion_Enero</t>
  </si>
  <si>
    <t>Ejecucion_Febrero</t>
  </si>
  <si>
    <t>Ejecucion_Marzo</t>
  </si>
  <si>
    <t>Ejecucion_Abril</t>
  </si>
  <si>
    <t>Ejecucion_Mayo</t>
  </si>
  <si>
    <t>Ejecucion_Junio</t>
  </si>
  <si>
    <t>programacion meta</t>
  </si>
  <si>
    <t>V1</t>
  </si>
  <si>
    <t>V2</t>
  </si>
  <si>
    <t>I1</t>
  </si>
  <si>
    <t>I2</t>
  </si>
  <si>
    <t>I3</t>
  </si>
  <si>
    <t>P1</t>
  </si>
  <si>
    <t>P2</t>
  </si>
  <si>
    <t>P3</t>
  </si>
  <si>
    <t>P4</t>
  </si>
  <si>
    <t>P5</t>
  </si>
  <si>
    <t>ID</t>
  </si>
  <si>
    <t>NUM_Dep</t>
  </si>
  <si>
    <t>Num</t>
  </si>
  <si>
    <t>indirecto</t>
  </si>
  <si>
    <t>Tendencia anual</t>
  </si>
  <si>
    <t>Unidad de medida</t>
  </si>
  <si>
    <t>TOTAL META 2018</t>
  </si>
  <si>
    <t>TOTAL META 2019</t>
  </si>
  <si>
    <t>Tendencia Mensual</t>
  </si>
  <si>
    <t>Total intraanual</t>
  </si>
  <si>
    <t>T1_Avance</t>
  </si>
  <si>
    <t>Meta_Enero</t>
  </si>
  <si>
    <t>Meta_Febrero</t>
  </si>
  <si>
    <t>Meta_Marzo</t>
  </si>
  <si>
    <t>Meta_Abril</t>
  </si>
  <si>
    <t>Meta_Mayo</t>
  </si>
  <si>
    <t>Meta_Junio</t>
  </si>
  <si>
    <t>Meta 2020</t>
  </si>
  <si>
    <t>Descripción del indicador</t>
  </si>
  <si>
    <t>Actividades</t>
  </si>
  <si>
    <t>Beneficios, Efectos o Impactos Esperados</t>
  </si>
  <si>
    <t>Fuentes de información verificable</t>
  </si>
  <si>
    <t>Enero_V1</t>
  </si>
  <si>
    <t>Enero_V2</t>
  </si>
  <si>
    <t>Enero_I1</t>
  </si>
  <si>
    <t>Enero_I2</t>
  </si>
  <si>
    <t>Enero_I3</t>
  </si>
  <si>
    <t>Febrero_V1</t>
  </si>
  <si>
    <t>Febrero_V2</t>
  </si>
  <si>
    <t>Febrero_I1</t>
  </si>
  <si>
    <t>Febrero_I2</t>
  </si>
  <si>
    <t>Febrero_I3</t>
  </si>
  <si>
    <t>Marzo_V1</t>
  </si>
  <si>
    <t>Marzo_V2</t>
  </si>
  <si>
    <t>Marzo_I1</t>
  </si>
  <si>
    <t>Marzo_I2</t>
  </si>
  <si>
    <t>Marzo_I3</t>
  </si>
  <si>
    <t>Abril_V1</t>
  </si>
  <si>
    <t>Abril_V2</t>
  </si>
  <si>
    <t>Abril_I1</t>
  </si>
  <si>
    <t>Abril_I2</t>
  </si>
  <si>
    <t>Abril_I3</t>
  </si>
  <si>
    <t>Mayo_V1</t>
  </si>
  <si>
    <t>Mayo_V2</t>
  </si>
  <si>
    <t>Mayo_I1</t>
  </si>
  <si>
    <t>Mayo_I2</t>
  </si>
  <si>
    <t>Mayo_I3</t>
  </si>
  <si>
    <t>Junio_V1</t>
  </si>
  <si>
    <t>Junio_V2</t>
  </si>
  <si>
    <t>Junio_I1</t>
  </si>
  <si>
    <t>Junio_I2</t>
  </si>
  <si>
    <t>Junio_I3</t>
  </si>
  <si>
    <t>Total_V1</t>
  </si>
  <si>
    <t>Total_V2</t>
  </si>
  <si>
    <t>Enero_P1</t>
  </si>
  <si>
    <t>Enero_P2</t>
  </si>
  <si>
    <t>Enero_P3</t>
  </si>
  <si>
    <t>Enero_P4</t>
  </si>
  <si>
    <t>Enero_P5</t>
  </si>
  <si>
    <t>Febrero_P1</t>
  </si>
  <si>
    <t>Febrero_P2</t>
  </si>
  <si>
    <t>Febrero_P3</t>
  </si>
  <si>
    <t>Febrero_P4</t>
  </si>
  <si>
    <t>Febrero_P5</t>
  </si>
  <si>
    <t>Marzo_P1</t>
  </si>
  <si>
    <t>Marzo_P2</t>
  </si>
  <si>
    <t>Marzo_P3</t>
  </si>
  <si>
    <t>Marzo_P4</t>
  </si>
  <si>
    <t>Marzo_P5</t>
  </si>
  <si>
    <t>Abril_P1</t>
  </si>
  <si>
    <t>Abril_P2</t>
  </si>
  <si>
    <t>Abril_P3</t>
  </si>
  <si>
    <t>Abril_P4</t>
  </si>
  <si>
    <t>Abril_P5</t>
  </si>
  <si>
    <t>Mayo_P1</t>
  </si>
  <si>
    <t>Mayo_P2</t>
  </si>
  <si>
    <t>Mayo_P3</t>
  </si>
  <si>
    <t>Mayo_P4</t>
  </si>
  <si>
    <t>Mayo_P5</t>
  </si>
  <si>
    <t>Total_P1</t>
  </si>
  <si>
    <t>Total_P2</t>
  </si>
  <si>
    <t>Total_P3</t>
  </si>
  <si>
    <t>Total_P4</t>
  </si>
  <si>
    <t>Total_P5</t>
  </si>
  <si>
    <t>T1_C1</t>
  </si>
  <si>
    <t>T1_C2</t>
  </si>
  <si>
    <t>T1_C3</t>
  </si>
  <si>
    <t>T1_C4</t>
  </si>
  <si>
    <t>T1_C5</t>
  </si>
  <si>
    <t>T1_C6</t>
  </si>
  <si>
    <t>T1_C7</t>
  </si>
  <si>
    <t>T1_C8</t>
  </si>
  <si>
    <t>T1_C9</t>
  </si>
  <si>
    <t>T1_Obs</t>
  </si>
  <si>
    <t>T1_Elaboró</t>
  </si>
  <si>
    <t>T2_C1</t>
  </si>
  <si>
    <t>T2_C2</t>
  </si>
  <si>
    <t>T2_C3</t>
  </si>
  <si>
    <t>T2_C4</t>
  </si>
  <si>
    <t>T2_C5</t>
  </si>
  <si>
    <t>T2_C6</t>
  </si>
  <si>
    <t>T2_C7</t>
  </si>
  <si>
    <t>T2_C8</t>
  </si>
  <si>
    <t>T2_C9</t>
  </si>
  <si>
    <t>T2_Obs</t>
  </si>
  <si>
    <t>T2_Elaboró</t>
  </si>
  <si>
    <t>T3_C1</t>
  </si>
  <si>
    <t>T3_C2</t>
  </si>
  <si>
    <t>T3_C4</t>
  </si>
  <si>
    <t>T3_C5</t>
  </si>
  <si>
    <t>T3_C6</t>
  </si>
  <si>
    <t>T3_C7</t>
  </si>
  <si>
    <t>T3_C8</t>
  </si>
  <si>
    <t>T3_C9</t>
  </si>
  <si>
    <t>T3_Obs</t>
  </si>
  <si>
    <t>T3_Elaboró</t>
  </si>
  <si>
    <t>T4_C1</t>
  </si>
  <si>
    <t>T4_C2</t>
  </si>
  <si>
    <t>T4_C4</t>
  </si>
  <si>
    <t>T4_C5</t>
  </si>
  <si>
    <t>T4_C6</t>
  </si>
  <si>
    <t>T4_C7</t>
  </si>
  <si>
    <t>T4_C8</t>
  </si>
  <si>
    <t>T4_C9</t>
  </si>
  <si>
    <t>T4_Obs</t>
  </si>
  <si>
    <t>T4_Elaboró</t>
  </si>
  <si>
    <t>Revisar soportes</t>
  </si>
  <si>
    <t>Código Proyecto de Inversión</t>
  </si>
  <si>
    <t>Nombre Proyecto de inversión</t>
  </si>
  <si>
    <t>ID_META SEGPLAN</t>
  </si>
  <si>
    <t>ID_PROY_META</t>
  </si>
  <si>
    <t>PILAR</t>
  </si>
  <si>
    <t>PROGRAMA</t>
  </si>
  <si>
    <t>Nombre del Indicador</t>
  </si>
  <si>
    <t>METAS sistema gestion contractual</t>
  </si>
  <si>
    <t>META SEGPLAN</t>
  </si>
  <si>
    <t>Tendencia Anual</t>
  </si>
  <si>
    <t>UNIDAD DE MEDIDA</t>
  </si>
  <si>
    <t>ID_Actividad</t>
  </si>
  <si>
    <t>Programación META</t>
  </si>
  <si>
    <t xml:space="preserve">% ESPERADO DE CUMPLIMIENTO VIGENCIA </t>
  </si>
  <si>
    <t>Número Actividad</t>
  </si>
  <si>
    <t>ID_PROY_META_ACTIVIDAD</t>
  </si>
  <si>
    <t>Actividad</t>
  </si>
  <si>
    <t>RESPONSABLE ACTIVIDAD</t>
  </si>
  <si>
    <t>% pond_proyecto</t>
  </si>
  <si>
    <t>% pond_meta</t>
  </si>
  <si>
    <t>Ponderación de la Actividad en el total de la Meta</t>
  </si>
  <si>
    <t>FECHA INICIO (DD/MM/AAAA)</t>
  </si>
  <si>
    <t xml:space="preserve"> FECHA TERMINACION  (DD/MM/AAAA)</t>
  </si>
  <si>
    <t>%Prog_Enero</t>
  </si>
  <si>
    <t>%pond_ene_actividad</t>
  </si>
  <si>
    <t>%pond_ene_meta</t>
  </si>
  <si>
    <t>ENERO: PROGRAMACIÓN SOPORTES</t>
  </si>
  <si>
    <t>%Prog_Febrero</t>
  </si>
  <si>
    <t>%pond_feb_actividad</t>
  </si>
  <si>
    <t>%pond_feb_meta</t>
  </si>
  <si>
    <t>FEBRERO: PROGRAMACIÓN SOPORTES</t>
  </si>
  <si>
    <t>%Prog_Marzo</t>
  </si>
  <si>
    <t>%pond_mar_actividad</t>
  </si>
  <si>
    <t>%pond_mar_meta</t>
  </si>
  <si>
    <t>MARZO: PROGRAMACIÓN SOPORTES</t>
  </si>
  <si>
    <t>%Prog_Abril</t>
  </si>
  <si>
    <t>%pond_abr_actividad</t>
  </si>
  <si>
    <t>%pond_abr_meta</t>
  </si>
  <si>
    <t>ABRIL: PROGRAMACIÓN SOPORTES</t>
  </si>
  <si>
    <t>%Prog_Mayo</t>
  </si>
  <si>
    <t>%pond_may_actividad</t>
  </si>
  <si>
    <t>%pond_may_meta</t>
  </si>
  <si>
    <t>MAYO: PROGRAMACIÓN SOPORTES</t>
  </si>
  <si>
    <t>Soportes</t>
  </si>
  <si>
    <t>%Prog_Total</t>
  </si>
  <si>
    <t>%pond_tot_actividad</t>
  </si>
  <si>
    <t>%pond_tot_meta</t>
  </si>
  <si>
    <t>A1</t>
  </si>
  <si>
    <t>A2</t>
  </si>
  <si>
    <t>A3</t>
  </si>
  <si>
    <t>A4</t>
  </si>
  <si>
    <t>A5</t>
  </si>
  <si>
    <t>A6</t>
  </si>
  <si>
    <t>%Ejec_Enero</t>
  </si>
  <si>
    <t>%Ejec_Febrero</t>
  </si>
  <si>
    <t>%Ejec_Marzo</t>
  </si>
  <si>
    <t>%Ejec_Abril</t>
  </si>
  <si>
    <t>%Ejec_Mayo</t>
  </si>
  <si>
    <t>%Ejec_Total</t>
  </si>
  <si>
    <t>145B</t>
  </si>
  <si>
    <t>1081_6</t>
  </si>
  <si>
    <t>07 - Eje transversal Gobierno legítimo, fortalecimiento local y eficiencia</t>
  </si>
  <si>
    <t>44 - Gobierno y ciudadanía digital</t>
  </si>
  <si>
    <t>Sistema de Seguridad de la Información en la Secretaría General implementado</t>
  </si>
  <si>
    <t>Implementar el 100% del sistema de seguridad de la información en la Secretaría General.</t>
  </si>
  <si>
    <t>Implementar El 100 % Del Sistema De Seguridad De La Información En La Secretaría General</t>
  </si>
  <si>
    <t>Constante</t>
  </si>
  <si>
    <t>Porcentaje</t>
  </si>
  <si>
    <t>1081_6_1</t>
  </si>
  <si>
    <t>Actualizar plataforma de seguridad de la información</t>
  </si>
  <si>
    <t xml:space="preserve">1. Fichas tecnicas de: UPS para Archivo de Bogota y clav
2. Correo para revisión de fichas por parte de contratación:  UPS para Archivo de Bogota y clav
</t>
  </si>
  <si>
    <t xml:space="preserve">3. Fichas tecnicas de:  Sistema WAF.
4. Correo para revisión de fichas por parte de contratación:   Sistema WAF
5. Solicitud Cotizaciones de: UPS para Archivo de Bogota y clav
6. Elaboración estudio de mercado: UPS para Archivo de Bogota y clav
7. Memorandos de la OTIC para Direccion Contratación UPS para Archivo de Bogota y clav.
8. Ficha tecnica de Firewalle </t>
  </si>
  <si>
    <t>Gestionar la plataforma de Seguridad de la Información</t>
  </si>
  <si>
    <t>1081_6_2</t>
  </si>
  <si>
    <t xml:space="preserve">Memorandos de la OTIC para Direccion Contratación contratación de: Sosporte y mantenimiento de:
1- Red Lan y Wan, servidores
2- Plataforma de registro de solicitud servicios e inventario informatico.
3. Contratos (link de secop II)
</t>
  </si>
  <si>
    <t>4 Memorandos de la OTIC para Direccion Contratación de desinstalación software no licenciado
5 Contrato publicado  (link de secop II) 
6 Reporte  de contratos en ejecución (link secop II)</t>
  </si>
  <si>
    <t>7 Publicación de Bases de Datos de la entidad ante la Superintendencia de Industrial y Comercio.
8 Memorandos de la OTIC para Direccion Contratación contratación de  Sostenibilidad del Sistema seguridad de la Información 
9 Contrato publicado (link de secop II)
10  Reporte  de contratos en ejecución (link secop II)</t>
  </si>
  <si>
    <t xml:space="preserve">11 Publicacion en la pagina web de la entidad la policita de protección datos personales
12  Reporte  de contratos en ejecución (link secop II) 
13. Informe avance de escaneo y analisis de vulnerabilidades en nimino 1 sistema de inf.
</t>
  </si>
  <si>
    <t>145C</t>
  </si>
  <si>
    <t>1081_5</t>
  </si>
  <si>
    <t>Mantenimiento y operación de la plataforma tecnológica de la Secretaría General</t>
  </si>
  <si>
    <t>Garantizar el mantenimiento y la operación del 100% de la plataforma tecnológica de la Secretaría General.</t>
  </si>
  <si>
    <t>Garantizar Mantenimiento Y Operación Del 100 % De La Plataforma Tecnológica De La Secretaría General</t>
  </si>
  <si>
    <t>1081_5_1</t>
  </si>
  <si>
    <t>Actualizar y ampliar soluciones tecnológicas en la Secretaría General</t>
  </si>
  <si>
    <t xml:space="preserve">1. Memorandos de la OTIC para Direccion Contratación Actualizacion y soporte del Licenciamiento de productos Oracle.
2. Contratos (link de secop II)
</t>
  </si>
  <si>
    <t>3 Memorandos de la OTIC para Direccion Contratación de Adquirir productos y servicios Microsoft (oficces 365 y Azure) para dar continuidad a las aplicaciones, sitios y/o páginas web a través del Acuerdo Marco de Precios 
4 Contratos (link de secop II) de oracle
5 Memos para pago  oracle</t>
  </si>
  <si>
    <t xml:space="preserve">6 Fichas tecnicas de: Optimizador Ancho de banda. 
7 Fichas tecnicas de: Extensión de garantia
8 Fichas tecnicas de: Monitoreo elementos de red
9 Correo para revisión de fichas por parte de contratación: Optimizador Ancho de banda
10 Correo para revisión de fichas por parte de contratación: Extensión de garantia
11 Correo para revisión de fichas por parte de contratación: monitoreo elementos de red
12 Contratos (link de secop II) de Microsoft
</t>
  </si>
  <si>
    <t xml:space="preserve">13 Memos para pago Microsoft
14 Solicitud Cotizaciones de: Optimizador Ancho de banda, 
15 Solicitud Cotizaciones de:  Extensión de garantia
16 Solicitud Cotizaciones de:  monitoreo elementos de red
17 Elaboración estudio de mercado: de Optimizador Ancho de banda
18 Elaboración estudio de mercado:  Extensión de garantia
19 Elaboración estudio de mercado: monitoreo elementos de red
</t>
  </si>
  <si>
    <t>Cumplir el plan de trabajo para la implementación del ERP en la Secretaría General</t>
  </si>
  <si>
    <t>Fortalecer la Gobernalidad de TI en la entidad</t>
  </si>
  <si>
    <t>Optimizar  sistemas de información y sitios web con soporte técnico en la Secretaría General</t>
  </si>
  <si>
    <t>1081_5_2</t>
  </si>
  <si>
    <t>1081_5_3</t>
  </si>
  <si>
    <t>Fichas tecnicas para migración de IPV4 a IPV6</t>
  </si>
  <si>
    <t>1081_5_4</t>
  </si>
  <si>
    <t xml:space="preserve">Memorandos de la OTIC para Direccion Contratación contratación de: - Perno, - Presupuesto Interno, - Cuentas por Cobrar Facturación, - Gestión Contractual, - Limay, SAE y SAI, - Sitios y aplicativos web, - sistemas desarrollados en JEE y Java.  
Contratos (link de secop II)
</t>
  </si>
  <si>
    <t xml:space="preserve">Contratos (link de secop II)
Reporte de  ejecución (link secop II) de: - Perno, - Presupuesto Interno, - Cuentas por Cobrar Facturación, - Gestión Contractual, - Limay, SAE y SAI, - Sitios y aplicativos web, - sistemas desarrollados en JEE y Java. 
Memos para pago </t>
  </si>
  <si>
    <t>1090_2</t>
  </si>
  <si>
    <t>45 - Gobernanza e influencia local, regional e internacional</t>
  </si>
  <si>
    <t>Acciones de articulación interinstitucional</t>
  </si>
  <si>
    <t>Desarrollar 16 acciones de articulación para la promoción, proyección y cooperación internacional de la ciudad</t>
  </si>
  <si>
    <t>Desarrollar 18 Acciones De Articulación Para La Promoción, Proyección Y Cooperación Internacional De La Ciudad</t>
  </si>
  <si>
    <t>Suma</t>
  </si>
  <si>
    <t>Número</t>
  </si>
  <si>
    <t>1090_2_1</t>
  </si>
  <si>
    <t>Desarrollar intercambios de conocimiento y proyectos, sistematización de buenas prácticas y ejecución de eventos temáticos en torno al desarrollo urbano y la Cooperación internacional</t>
  </si>
  <si>
    <t>N/A</t>
  </si>
  <si>
    <t>Concepto Técnico</t>
  </si>
  <si>
    <t>Diseñar acciones coordinadas de cooperación según las prioridades sectoriales y fortalecimiento del sistema de información de la cooperación internacional</t>
  </si>
  <si>
    <t>1090_2_2</t>
  </si>
  <si>
    <t>1090_3</t>
  </si>
  <si>
    <t>Acciones de mercadeo de ciudad desarrolladas</t>
  </si>
  <si>
    <t>Desarrollar 12 acciones de mercadeo de ciudad para la promoción y proyección internacional de la ciudad</t>
  </si>
  <si>
    <t>Desarrollar 15 Acciones De Mercadeo De Ciudad Para La Promoción Y Proyección Internacional De La Ciudad.</t>
  </si>
  <si>
    <t>1090_3_1</t>
  </si>
  <si>
    <t>Apoyar la implementación de la estrategia de comunicaciones para divulgar a nivel internacional los logros del Distrito Capital</t>
  </si>
  <si>
    <t>Participar, tener presencia y/o ser anfitriones en eventos de carácter Internacional.</t>
  </si>
  <si>
    <t>1090_3_2</t>
  </si>
  <si>
    <t>Informe de acción y Concepto técnico</t>
  </si>
  <si>
    <t>1111_6</t>
  </si>
  <si>
    <t>05 - Eje transversal Desarrollo económico basado en el conocimiento</t>
  </si>
  <si>
    <t>36 - Bogotá, una ciudad digital</t>
  </si>
  <si>
    <t>Estrategia de Promoción  y Desarrollo de Servicios TIC ejecutada</t>
  </si>
  <si>
    <t>Implementar el 100% de la Estrategia de Promoción y Desarrollo de Servicios TIC</t>
  </si>
  <si>
    <t>Implementar 100 Porciento De La Estrategia De Promoción Y Desarrollo De Servicios Tic.</t>
  </si>
  <si>
    <t>Creciente</t>
  </si>
  <si>
    <t>1111_6_1</t>
  </si>
  <si>
    <t>Monitorear y evaluar la estrategia de promocion y desarrollo de servicios tic</t>
  </si>
  <si>
    <t>Programa de Desarrollo y Servicios TIC: Informe mensual  de avance de procesos de formación
Sostenibilidad wifi: Informe consolidado de supervisión a 31 de enero de 2020
Sostenibilidad Laboratorios: Informe monitoreo y seguimiento a la sostenibilidad de  los laboratorios.
Gestión Estrategía Implementación ERP: Plan de trabajo - Acompalamiento de articulación con las entidades del Distrito para integrarlas al ERP BogData-SAP de la SDH</t>
  </si>
  <si>
    <t>Programa de Desarrollo y Servicios TIC: Informe mensual  de avance de procesos de formación
Sostenibilidad wifi: Adelantar aceptación de adición y prorroga del Convenio 413000-643-2019.
Sostenibilidad Laboratorios: Informe monitoreo y seguimiento a la sostenibilidad de  los laboratorios.
Gestión Estrategía Implementación ERP: Informe mensual de Acompañamiento de articulación con las entidades del Distrito.</t>
  </si>
  <si>
    <t>Programa de Desarrollo y Servicios TIC: Informe mensual  de avance de procesos de formación
Sostenibilidad wifi: Informe trimestral de ejecución.
Sostenibilidad Laboratorios: Informe monitoreo y seguimiento a la sostenibilidad de  los laboratorios.
Gestión Estrategía Implementación ERP: Informe mensual de Acompañamiento de articulación con las entidades del Distrito.</t>
  </si>
  <si>
    <t>Programa de Desarrollo y Servicios TIC: Informe mensual  de avance de procesos de formación
Sostenibilidad wifi: Elaboración terminos de referencia para la contratación de sostenibilidad Zonas WIFI.
Sostenibilidad Laboratorios: Informe monitoreo y seguimiento a la sostenibilidad de  los laboratorios.
Gestión Estrategía Implementación ERP: Informe mensual de Acompañamiento de articulación con las entidades del Distrito.</t>
  </si>
  <si>
    <t>1125_14</t>
  </si>
  <si>
    <t>42 - Transparencia, gestión pública y servicio a la ciudadanía</t>
  </si>
  <si>
    <t>entidades del distrito asesoradas en la implementación del SGDEA</t>
  </si>
  <si>
    <t>DDAB - Asesorar al 100% entidades del distrito en la implementacion del SGDEA</t>
  </si>
  <si>
    <t>Asesorar Al 100 Porciento De Las Entidades Del Distrito En La Implementacion Del Sgdea</t>
  </si>
  <si>
    <t>1125_14_1</t>
  </si>
  <si>
    <t>Diseñar e implementar los lineamientos para la administración de documentos electrónicos de archivo en las entidades del Distrito Capital</t>
  </si>
  <si>
    <t>Alvaro Arias Cruz-
Enlace: Adriana Sandoval</t>
  </si>
  <si>
    <t>Gestión: Registro de Asistencia, Evidencia de Reunión y Matriz Planeación</t>
  </si>
  <si>
    <t>Gestión: Registro de Asistencia, Evidencia de Reunión, Avance del Informe de diagnóstico del estado de la gestión de los documentos electrónicos en las entidades de Distrito, Avance del Informe de formulación proyecto de la Red Distrital de Archivos Públicos Abiertos y Avance del Informe de Laboratorio SGDEA (PIIAS) II.</t>
  </si>
  <si>
    <t>Acopiar, catalogar y/o describir unidades documentales de interés patrimonial para la ciudad.</t>
  </si>
  <si>
    <t>1125_17</t>
  </si>
  <si>
    <t>Unidades documentales puestas al servicio de la administración y la ciudadanía</t>
  </si>
  <si>
    <t>DDAB - Poner 380.187 unidades documentales al servicio de la administración y la ciudadanía</t>
  </si>
  <si>
    <t>Poner 380187 Unidades Documentales Al Servicio De La Administración Y La Ciudadanía</t>
  </si>
  <si>
    <t>1125_17_1</t>
  </si>
  <si>
    <t>Producto: Memorando Electrónico enviado a la Sala de Investigadores formalizando el número de unidades puestas al servicio de la ciudadanía.</t>
  </si>
  <si>
    <t>Producto: Memorando Electrónico enviado a la Sala de Investigadores formalizando el número de unidades puestas al servicio de la ciudadanía. Gestión: Acta de recibo de ingreso documentales o transferencia.</t>
  </si>
  <si>
    <t>Producto: Memorando Electrónico enviado a la Sala de Investigadores formalizando el número de unidades puestas al servicio de la ciudadanía. Gestión: Avance informe para fortalecer la Guía General del Archivo de Bogotá y Guías actualizadas y estandarizadas de fondos y colecciones.</t>
  </si>
  <si>
    <t>Apoyo ala gestión administrativa y financiera para la puesta al servicio de las unidades documentales.</t>
  </si>
  <si>
    <t>Desarrollar acciones que contribuyan a la recuperación y apropiación de memoria histórica de la ciudad.</t>
  </si>
  <si>
    <t>Realizar acciones de divulgación y pedagogía, para la apropiación social de la memoria histórica de la ciudad y la función archivística.</t>
  </si>
  <si>
    <t>Realizar actividades de implementación del sistema integrado de conservación para el archivo de bogotá y las entidades distritales.</t>
  </si>
  <si>
    <t>Soporte a la adminsitración del sistema de archivo SIAB.</t>
  </si>
  <si>
    <t>1125_17_2</t>
  </si>
  <si>
    <t>Reporte de Conciliación 516, SGC y Predis e Informe de ejecución Plan Anual de Adquisiciones.</t>
  </si>
  <si>
    <t>Reporte de Conciliación 516, SGC y Predis, Informe de ejecución Plan Anual de Adquisiciones e Informe de ejecución presupuestal y metas.</t>
  </si>
  <si>
    <t>Reporte de Conciliación 516, SGC y Predis, Informe de ejecución Plan Anual de Adquisiciones, Informe de ejecución presupuestal y metas y Sistema de Seguimiento a Planes de Acción.</t>
  </si>
  <si>
    <t>Reporte de Conciliación 516, SGC y Predis, Informe de ejecución Plan Anual de Adquisiciones, Informe de ejecución presupuestal y metas, Sistema de Seguimiento a Planes de Acción e Informe de cumplimiento del Sistema de Gestión de Calidad.</t>
  </si>
  <si>
    <t>1125_17_3</t>
  </si>
  <si>
    <t>Pantallazo de la publicación de los diferentes artículos relacionados con la recuperación y apropiación de la memoria histórica de Bogotá.</t>
  </si>
  <si>
    <t>Pantallazo de la publicación de los diferentes artículos relacionados con la recuperación y apropiación de la memoria histórica de Bogotá y avance del informe sobre la ubicación de fuentes para el incremento de la colección Alcaldes Mayores.</t>
  </si>
  <si>
    <t>1125_17_4</t>
  </si>
  <si>
    <t>Pantallazo de la publicación realizadas en el micrositio web del Archivo de Bogotá y Base de excel relacionando publicaciones en Twitter y Facebook.</t>
  </si>
  <si>
    <t xml:space="preserve">Pantallazo de la publicación realizadas en el micrositio web del Archivo de Bogotá, Base de excel relacionando publicaciones en Twitter y Facebook, Pantallazo con las publicaciones realizadas en Instagram y registro de asistencia de la visita guiada realizada. </t>
  </si>
  <si>
    <t xml:space="preserve">Pantallazo de la publicación realizadas en el micrositio web del Archivo de Bogotá, Base de excel relacionando publicaciones en Twitter y Facebook, Pantallazo con las publicaciones realizadas en Instagram, Fotografía del evento realizado con sus respectivas piezas comunicacionales y registro de asistencia de la visita guiada realizada </t>
  </si>
  <si>
    <t>1125_17_5</t>
  </si>
  <si>
    <t>Memorando reportando las actividades de implementación del sistema integrado de conservación al Subdirector Técnico.</t>
  </si>
  <si>
    <t>1125_17_6</t>
  </si>
  <si>
    <t>Informe de incidencias SIAB atendidas y solucionadas.</t>
  </si>
  <si>
    <t>22B</t>
  </si>
  <si>
    <t>1125_22</t>
  </si>
  <si>
    <t>DDAB - Sostener  la implementación de las 3 estrategias que conduzcan a la modernizacion y eficiente gestion documental en la Administracion Distrital</t>
  </si>
  <si>
    <t>Sostener  La Implementación De Las 3 Estrategias Que Conduzcan A La Modernizacion Y Eficiente Gestion Documental En La Administracion Distrital</t>
  </si>
  <si>
    <t>1125_22_1</t>
  </si>
  <si>
    <t>Brindar acompañamiento a la formulación, actualización y/o implementación de los instrumentos archivísticos y otros componentes de la gestión documental por parte de las Entidades Distritales y Organismos de Control y Concejo Distritales</t>
  </si>
  <si>
    <t>Conceptos técnicos de revisión y evaluación de TRD y TVD</t>
  </si>
  <si>
    <t>Conceptos técnicos de revisión y evaluación de TRD y TVD.</t>
  </si>
  <si>
    <t>Implementar acciones que conduzcan a la sostenibilidad del proceso de modernización y eficiente gestión documental en el Distrito Capital</t>
  </si>
  <si>
    <t>1125_22_2</t>
  </si>
  <si>
    <t>Matriz de Planeación,  evidencia de reunión, registro de asistencia y concepto técnico  de asistencia técnica.</t>
  </si>
  <si>
    <t>Evidencia de reunión, registro de asistencia y concepto técnico de  asistencia técnica.</t>
  </si>
  <si>
    <t>Evidencia de reunión, registro de asistencia, Acta de apertura y cierre de la visita de seguimiento,  boletín infonormate y  concepto técnico de la asistencia técnica.</t>
  </si>
  <si>
    <t>Evidencia de reunión, registro de asistencia, Acta de apertura y cierre de la visita de seguimiento, proyecto circular derogación 01/2013 y obligatoriedad de reportar a DDAB modificaciones a TRD que no deban convalidarse en CDA, concepto técnico  de asistencia técnica y presentación de la socialización de la agenda corporativa de gestión documental y administración de Archivos para Directivos y avance en la estructura del proyecto de Decreto SGDA.</t>
  </si>
  <si>
    <t>1125_6</t>
  </si>
  <si>
    <t>Estrategias implementadas de asesoría y/o seguimiento frente a la implementación de los lineamientos dados en materia de gestión, ética, transparencia, planes anticorrupción y procesos de alto riesgo.</t>
  </si>
  <si>
    <t>DDDI - Implementar tres (3) estrategias de asesoría y seguimiento frente a la implementación de los lineamientos dados en materia de gestión, ética, transparencia, planes anticorrupción y procesos de alto riesgo.</t>
  </si>
  <si>
    <t>Implementar 4 Estrategias De Asesoría Y Seguimiento Frente A La Implementación De Los Lineamientos Dados En Materia De Gestión, Ética, Transparencia, Planes Anticorrupción Y Procesos De Alto Riesgo</t>
  </si>
  <si>
    <t>1125_6_1</t>
  </si>
  <si>
    <t>Realizar actividades para el desarrollo de las estrategias de Modernización</t>
  </si>
  <si>
    <t xml:space="preserve">Oscar Guillermo Niño - 
Enlace: Lady Nieto Bahamón </t>
  </si>
  <si>
    <t xml:space="preserve">Definición Plan de Contratación de la Dependencia </t>
  </si>
  <si>
    <t xml:space="preserve">(Diagnóstico, Alineación metas PDD - Plan de Acción) </t>
  </si>
  <si>
    <t>Plan de Trabajo Desarrollo  inicial de la Estrategias (Listados de Asistencia, Evidencias de Ejecución)</t>
  </si>
  <si>
    <t xml:space="preserve">Desarrollo de la Estrategia (Listados de la asistencia, informes de ejecución de la estrategia) </t>
  </si>
  <si>
    <t>Realizar las actividades para el desarrollo de los productos de las Políticas Públicas</t>
  </si>
  <si>
    <t>1125_6_2</t>
  </si>
  <si>
    <t>Plan de Trabajo Desarrollo inicial de la Estrategias (Listados de Asistencia, Evidencias de Ejecución)</t>
  </si>
  <si>
    <t>Desarrollo de la Estrategia  (Listados de la asistencia, informes de ejecución de la estrategia)</t>
  </si>
  <si>
    <t>152E</t>
  </si>
  <si>
    <t>1125_21</t>
  </si>
  <si>
    <t>Plan de adecuación y sostenibilidad del SIG-MIPG implementado en la Secretaria General</t>
  </si>
  <si>
    <t>OAP - Cumplir al 100% el plan de implementación y fortalecimiento de MIPG en la Entidad.</t>
  </si>
  <si>
    <t>Cumplir Al 100 % El Plan De Implementación Y Fortalecimiento De Mipg En La Entidad</t>
  </si>
  <si>
    <t>1125_21_1</t>
  </si>
  <si>
    <t>OAJ - Implementar y operar la defensa juridica de la Entidad.</t>
  </si>
  <si>
    <t>Luz Karime Fernandez-
Enlace: Diana Galeano</t>
  </si>
  <si>
    <t xml:space="preserve">(i) En relación con el producto relacionado con la creación del cargo  de abogado para la Oficina Asesora de Jurídica con dedicación exclusiva para la Secretaría Técnica del Comité de Conciliación, a cargo de la Dirección de Talento Humano y programado en el plan de trabajo para la implementación de MIPG en el componente de defensa jurídica, a esta Oficina como líder de ese proceso, le corresponde en este mes hacer seguimiento a dicha actividad y para ello, se envió a la Oficina Asesora de Planeación de la Secretaría General de la Alcaldía Mayor de Bogotá, el memorando con radicación 3-2020-1288 de 17 de enero  de 2020, solicitando la modificación del plan de trabajo en el sentido de que el cargo de abogado que se solicitó crear, no sea con dedicación exclusiva para Secretario Técnico y que mientras se crea dicho cargo,  se designe a uno de las abogadas de planta de la Oficina Asesora de Jurídica y no a un contratista.
(ii) Conforme a la modificación anterior, se debe en este mes designar el Secretario Técnico del Comité de Conciliación, lo cual se cumplió y consta en el acta 001 de 27 de enero de 2020 de dicho Comité. </t>
  </si>
  <si>
    <t>En relación con el seguimiento que debe hacer la Oficina Asesora de Jurídica a la creación del cargo de abogado para la Oficina Asesora de Jurídica para que actúe como Secretario Técnico del Comité de Conciliación, se envío a la Dirección de Talento Humano de la Secertaría General de la Alcaldía Mayor de Bogotá, el memorando con radicación 3-2020-2808 de 10 de febrero de 2020, dando alcance al radicado 3-2019-38326 de 9 de diciembre de 2019, modificando la solicitud en el sentido de que el cargo de abogado no sea con dededación exclusiva de Secretario Técnico del Comité de Conciliación.</t>
  </si>
  <si>
    <t>(i) Para formular los indicadores  de la implementación, eficiencia y eficacia de la conciliación, el ahorro patrimonial y la efectividad de las decisiones del Comité de Conciliación y los  que miden la eficiencia y efectividad, se debe designar  gestor de calidad.
(ii) Se debe hacer seguimiento a la creación del cargo para que cumpla además de otras funciones, la de Secretario Técnico del Comité de Conciliación.
(iii) Hacer  seguimiento a la Política de Prevención del Daño antijurídico.</t>
  </si>
  <si>
    <t xml:space="preserve">(i) Formular los indicadores  de la implementación, eficiencia y eficacia de la conciliación, el ahorro patrimonial y la efectividad de las decisiones del Comité de Conciliación y los  que miden la eficiencia y efectividad, se debe designar  gestor de calidad.
(ii) Hacer eguimiento a la creación del cargo para que cumpla además de otras funciones, la de Secretario Técnico del Comité de Conciliación.
(iii) Hacer seguimiento a la Política de Prevención del Daño antijurídico. </t>
  </si>
  <si>
    <t>OAP - Desarrollar el plan de mejoramiento y fortalecimiento del Sistema de Gestión de Calidad de la Secretaría General en la norma ISO 9001:2015</t>
  </si>
  <si>
    <t>OAP - Desarrollar y acompañar la ruta estratégica de la gestión institucional y promover el seguimiento a su ejecución y desempeño.</t>
  </si>
  <si>
    <t>OCI - Implementar y operar la política de gestión y desempeño institucional del control interno.</t>
  </si>
  <si>
    <t>ST -Acompañamiento a la ejecución de políticas y estrategias en el fortalecimiento y modernización de la Gestión Pública.</t>
  </si>
  <si>
    <t>TH - Gestionar estratégicamente el Talento Humano, la integridad y gestion del conocimiento e innovación</t>
  </si>
  <si>
    <t>1125_21_2</t>
  </si>
  <si>
    <t xml:space="preserve">Alexandra Rivera -
Enlace: Fernando Escobar </t>
  </si>
  <si>
    <t>Avance ponderado del plan de sostenimiento del Sistema de Gestión (Plan de trabajo con avance en archivo de Excel)</t>
  </si>
  <si>
    <t>1125_21_3</t>
  </si>
  <si>
    <t>Alexandra Rivera -
Enlace: Jorge Ruiz</t>
  </si>
  <si>
    <t>Esta actividad refleja el acompañamiento y seguimiento presupuestal y de magnitudes de los proyectos de inversión de la Entidad. _x000D_
Soportes: _x000D_
Informe en excel de plan anual de adquisiciones_x000D_
Informe en excel de ejecución de reservas y vigencia presupuestal _x000D_
Consolidado en excel del Plan de acción para los 9 proyectos de inversión de la Entidad</t>
  </si>
  <si>
    <t xml:space="preserve">Informe final con los siguientes temas:
Esta actividad refleja el acompañamiento y seguimiento presupuestal y de magnitudes de los proyectos de inversión de la Entidad. 
Soportes: 
Informe en excel de plan anual de adquisiciones
Informe en excel de ejecución de reservas y vigencia presupuestal </t>
  </si>
  <si>
    <t>1125_21_4</t>
  </si>
  <si>
    <t xml:space="preserve">Jorge Eliecer Gómez -
Enlace: Fernando Escobar </t>
  </si>
  <si>
    <t>Definición de trabajos de auditoria para el Plan Anual de Auditorias de la Vigencia 2020</t>
  </si>
  <si>
    <t>1) Apoyo y revisión Manual de Usuario herramienta Planes de mejoramiento.
2) Planeación e inicio de evaluación al Sistema de Control Interno de la Información mediante el uso de software y derechos de autor.
3) Actualización de la matriz de seguimiento de Planes de mejoramiento internos  para el fortalecimiento del Sistema de Control Interno de las dependencias OTIC, DDAB, SSA.
4) Capacitación y apoyo sobre el manejo de la Herramienta Planes de Mejoramiento.</t>
  </si>
  <si>
    <t>1) Finalización pruebas de auditoria sobre uso de software y  Derechos de Autor
2) Presentación de Informe de  evaluación al Sistema de Control Interno del uso de software y  Derechos de Autor
3) Reporte Derechos de Autor según Circular 17 de 2011 de la Dirección Nacional de Derechos de Autor
4) Actualización de la matriz de seguimiento de Planes de mejoramiento internos  para el fortalecimiento del Sistema de Control Interno de las dependencias OTIC, DDAB, SSA.
5) Planeación de la Evaluación Independiente sobre el control del Sistema Información Victimas del Distrito Capital -SIVIC
6) Capacitación y apoyo sobre el manejo de la herramienta Planes de Mejoramiento para el fortalecimiento del control interno de la Dependencias</t>
  </si>
  <si>
    <t>Informe final con los siguientes temas:
1) Ejecución de pruebas de la evaluación independiente sobre el control del Sistema Información Victimas del Distrito Capital -SIVIC.
2) Seguimiento de Planes de mejoramiento internos  para el fortalecimiento del Sistema de Control Interno de las dependencias OTIC, DDAB, SSA.
3) Apoyo en la implementación de la herramienta Planes de Mejoramiento para el fortalecimiento del control interno de la Dependencias de la Entidad</t>
  </si>
  <si>
    <t>1125_21_5</t>
  </si>
  <si>
    <t>Patricia Rincon Mazo -
Enlace: Andrés Andrade</t>
  </si>
  <si>
    <t>1125_21_6</t>
  </si>
  <si>
    <t xml:space="preserve">Esther Jaramillo-
Enlace: Fernando Escobar </t>
  </si>
  <si>
    <t>Plan estrategico de Talento Humano, aprobado y publicado. (http://intranet/wp-content/uploads/2020/02/Resolucio%CC%81n-063-de-2020-1.pdf)</t>
  </si>
  <si>
    <t>42B</t>
  </si>
  <si>
    <t>1125_10</t>
  </si>
  <si>
    <t>Solicitudes gráficas del Distrito viabilizadas, de acuerdo con el tipo de productos que se pueden elaborar con las máquinas y el personal disponible.</t>
  </si>
  <si>
    <t>SID - Ejecutar el 100% de las solicitudes gráficas del Distrito, de acuerdo con el tipo de productos que se pueden elaborar con las máquinas existentes</t>
  </si>
  <si>
    <t>Ejecutar El 100 Porciento De Las Solicitudes Gráficas Del Distrito, De Acuerdo Con El Tipo De Productos Que Se Pueden Elaborar Con Las Máquinas Existentes</t>
  </si>
  <si>
    <t>1125_10_1</t>
  </si>
  <si>
    <t>Adquirir y poner en funcionamiento 6 maquinas para la Imprenta Distrital</t>
  </si>
  <si>
    <t>Contratar servicios técnicos para la operación de la maquinaria de la Imprenta Distrital</t>
  </si>
  <si>
    <t>Desarrollar acciones  para la  adecuación, conservación, modernización, divulgación y fortalecimiento de la Imprenta Distrital, tanto en su infraestructura física, tecnologíca y logística como en su portafolio de servicios.</t>
  </si>
  <si>
    <t>1125_10_2</t>
  </si>
  <si>
    <t>1125_10_3</t>
  </si>
  <si>
    <t>Victoria Forero Polo -
Enlace: Julio Roberto Garzon</t>
  </si>
  <si>
    <t xml:space="preserve">1. Adecuación sede: Intervención de baños primer nivel con alistado de pisos y pañetes;  instalación de pisos oficinas segundo nivel.
2. Mantenimiento del Sistema Integrado de Gestión: Reporte seguimiento de acciones incluidas en el Plan de mejoramiento de la Imprenta Distrital, en ocasión a las auditorías internas y externas; propuesta anexo especificaciones técnicas para la elaboración del contrato de Residuos Peligrosos -Respel-.
</t>
  </si>
  <si>
    <t>1. Adecuación sede: intervención de baños primer nivel con pañete de muros, fundida sobre piso, enchapado, reforma tubería hidrosanitaria.
2. Obra sede: ejecución de mayores cantidades de redes hidrosanitarias, mayores cantidades de concreto en reforzamiento estructural, hierros y anclajes, apuntalamiento estructural.
3. Mantenimiento del Sistema Integrado de Gestión: Monitoreo de los riesgos de la Subdirección de Imprenta Distrital; formato listo de verificación de requisitos norma ISO 9001:2015 IDTM, con el fin de proveer un buen servicio; seguimiento a la Estrategia de racionalización de tramites en el SUIT en la Subdirección de Imprenta Distrital; informe de inspecciones de puntos ecológicos de los servidores de la Imprenta Distrital para disminuir el impacto ambiental; informe de inspecciones de puntos ecológicos de los servidores de la Imprenta Distrital para disminuir el impacto ambiental; análisis de Riesgos de gestión y corrupción de la Subdirección de Imprenta Distrital.</t>
  </si>
  <si>
    <t>1. Adecuación sede: intervención baños primer nivel, con enchapado, fundido lavamanos, instalación aparatos hidrosanitarios.
2. Obra sede: reinstalación eléctrica, desmonte perfilería cielo raso, apuntalamiento estructural, ejecución de mayores cantidades de reforzamiento estructural, reforzamiento de madera y mayores cantidades de inmunización.
3. Mantenimiento del Sistema Integrado de Gestión: procedimiento “Elaboración de Impresos y Registro Distrital”, actualizado;
matriz de monitoreo de riesgos de gestión y de corrupción del proceso de Imprenta; informe de inspecciones de puntos ecológicos de los servidores de la Imprenta Distrital para disminuir el impacto ambiental; informe de inspecciones de puestos de trabajo de los diferentes colaboradores de la Imprenta Distrital, con el fin de prevenir enfermedades laborales en los servidores; realizar la revisión y actualización de la matriz de IPVR, en el marco de la Resolución 0312 de 2019.</t>
  </si>
  <si>
    <t>1125_9</t>
  </si>
  <si>
    <t>Programa de Gestión Documental física y electrónica en la Secretaria General, elaborado e implementado</t>
  </si>
  <si>
    <t>GD - Elaborar e implementar en un 100% el Programa de Gestión Documental física y electrónica en la Secretaria General</t>
  </si>
  <si>
    <t>Elaborar E Implementar En Un 100 Porciento El Programa De Gestión Documental Física Y Electrónica En La Secretaria General</t>
  </si>
  <si>
    <t>1125_9_1</t>
  </si>
  <si>
    <t>Elaborar e implementar en un el plan estratégico para la gestión documental electrónica en la Secretaria General</t>
  </si>
  <si>
    <t>Gina Alexandra Vaca -
Enlace: Yenly Alonso</t>
  </si>
  <si>
    <t>Plan de trabajo para ajustes del SIGA.</t>
  </si>
  <si>
    <t>Casos de soporte en el aplicativo</t>
  </si>
  <si>
    <t>Estrategia de socialización y sensibilización dirigido a los servidores de la Secretaria General, para apoyar la modernización de los archivos y la gestión</t>
  </si>
  <si>
    <t>Implementar las fases del programa de gestión documental en la Secretaria General y realizar los ajustes que se requieran</t>
  </si>
  <si>
    <t>Organizar fisica y electrónicamente 2.500 m lineales de archivo central de la Secretaría General</t>
  </si>
  <si>
    <t>1125_9_2</t>
  </si>
  <si>
    <t>1125_9_3</t>
  </si>
  <si>
    <t>Cronograma de organización de archivo y cronograma de transferencias</t>
  </si>
  <si>
    <t>Reportes de seguimiento a la ejecución de los cronogramas.</t>
  </si>
  <si>
    <t>1125_9_4</t>
  </si>
  <si>
    <t>Inventarios consolidados por depósito</t>
  </si>
  <si>
    <t>Inventarios iniciales por periodo</t>
  </si>
  <si>
    <t>Inventarios consolidados por periodo</t>
  </si>
  <si>
    <t>96A</t>
  </si>
  <si>
    <t>1125_12</t>
  </si>
  <si>
    <t>Índice de ajuste de los documentos precontractuales correspondientes a los procesos de contratación de la Secretaría General</t>
  </si>
  <si>
    <t>SC - Mantener en 100% el índice de ajuste de los documentos precontractuales correspondientes a los procesos de contratación de la secretaría general, en coordinación con las dependencias, teniendo en cuenta que el tiempo promedio establecido es de 15 días hábiles</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</si>
  <si>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</si>
  <si>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1125_12_1</t>
  </si>
  <si>
    <t>DAF - Planear y estructurar los contratos los bienes y servicios de acuerdo a las necesidades de los procesos, cumpliendo con los requisitos legales y los establecidos por la Entidad</t>
  </si>
  <si>
    <t>Solicitudes de contratación radicadas de acuerdo con las  necesidades de las áreas</t>
  </si>
  <si>
    <t>Informe final con los siguientes temas: Solicitudes de contratación radicadas de acuerdo con las  necesidades de las áreas</t>
  </si>
  <si>
    <t>DC - Desarrollar los procesos contractuales de manera efectiva los bienes y servicios de acuerdo a las necesidades de los procesos, cumpliendo los requisitos legales y lo establecido por la Entidad.</t>
  </si>
  <si>
    <t>1125_12_2</t>
  </si>
  <si>
    <t>Mario Alberto Chacón Castro -
Enlace: Maria Camila Reyes</t>
  </si>
  <si>
    <t>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t>
  </si>
  <si>
    <t>Informe final con los siguientes temas: 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t>
  </si>
  <si>
    <t>1125_1</t>
  </si>
  <si>
    <t>Unidad de Gerencia Estratégica implementada</t>
  </si>
  <si>
    <t>ST - Consolidar 1 Unidad de Gerencia Estratégica para los temas prioritarios de la administración distrital</t>
  </si>
  <si>
    <t>Consolidar 1 Unidad De Gerencia Estratégica Para Los Temas Prioritarios De La Administración Distrital.</t>
  </si>
  <si>
    <t>1125_1_1</t>
  </si>
  <si>
    <t>Apoyar la consolidacion del modelo de Asociaciones Público Privadas en las entidades del Distrito Capital.</t>
  </si>
  <si>
    <t>Patricia Rincon Mazo 
Enlace: Andrés Andrade</t>
  </si>
  <si>
    <t>Informe gestión presupuestal en la actividad "Apoyar la consolidacion del modelo de Asociaciones Público Privadas en las entidades del Distrito Capital".</t>
  </si>
  <si>
    <t>Articular y mantener con las entidades distritales, nacionales e internacionales las relaciones para el fortalecimiento y modernización de la gestión pública distrital.</t>
  </si>
  <si>
    <t>Realizar el seguimiento de forma transversal a los planes, programas y proyectos prioritarios de la administración distrital para el cumplimiento del Plan de Desarrollo "Bogotá Mejor para Todos"</t>
  </si>
  <si>
    <t>1125_1_2</t>
  </si>
  <si>
    <t>Informe gestión presupuestal en la actividad "Articular y mantener con las entidades distritales, nacionales e internacionales las relaciones para el fortalecimiento y modernización de la gestión pública distrital".</t>
  </si>
  <si>
    <t>1125_1_3</t>
  </si>
  <si>
    <t>Informe gestión presupuestal en la actividad "Realizar el seguimiento de forma transversal a los planes, programas y proyectos prioritarios de la administración distrital para el cumplimiento del Plan de Desarrollo "Bogotá Mejor para Todos"".</t>
  </si>
  <si>
    <t>10A</t>
  </si>
  <si>
    <t>1125_2</t>
  </si>
  <si>
    <t>Una agenda gubernamental articulada</t>
  </si>
  <si>
    <t>ST - Mantener 1 Agenda Gubernamental articulada en el Distrito Capital</t>
  </si>
  <si>
    <t>Mantener 1 Agenda Gubernamental Articulada En El Distrito Capital</t>
  </si>
  <si>
    <t>1125_2_1</t>
  </si>
  <si>
    <t>Apoyar tecnicamente el desarrollo de actividades dirigidas al fortalecimiento y modernizacion de la gestion publica distrital.</t>
  </si>
  <si>
    <t>Informe gestión presupuestal en la actividad "Apoyar tecnicamente el desarrollo de actividades dirigidas al fortalecimiento y modernizacion de la gestion publica distrital".</t>
  </si>
  <si>
    <t>Coordinar la estrategia interna e interinstitucional, logística y de operaciones del despacho del Alcalde Mayor para llevar a cabo la articulación de la agenda gubernamental</t>
  </si>
  <si>
    <t>1125_2_2</t>
  </si>
  <si>
    <t>Informe gestión presupuestal en la actividad "Coordinar la estrategia interna e interinstitucional, logística y de operaciones del despacho del Alcalde Mayor para llevar a cabo la articulación de la agenda gubernamental".</t>
  </si>
  <si>
    <t>1126_16</t>
  </si>
  <si>
    <t xml:space="preserve">Días promedio en el direccionamiento de las peticiones ciudadanas </t>
  </si>
  <si>
    <t>Mantener en 3 el número de días promedio en el direccionamiento de las peticiones ciudadanas</t>
  </si>
  <si>
    <t>Mantener En 3 El Numero De Dias Promedio En El Direccionamiento De Las Peticiones Ciudadanas</t>
  </si>
  <si>
    <t>1126_16_1</t>
  </si>
  <si>
    <t>Evaluar la satisfacción del ciudadano por el servicio prestados en los diferentes canales de atención</t>
  </si>
  <si>
    <t>LINA MARÍA SÁNCHEZ ROMERO</t>
  </si>
  <si>
    <t>1. Reporte del número promedio de días de direccionamiento.
2. Informes de monitoreo (mes vencido)</t>
  </si>
  <si>
    <t>Implementar Inteligencia de Negocios para los Sistemas de Información de la SSC</t>
  </si>
  <si>
    <t>Optimizar los sistemas de información de la Subsecretaría de Servicio a la Ciudadanía</t>
  </si>
  <si>
    <t>1126_16_2</t>
  </si>
  <si>
    <t>Reporte del número de consultas en el mes utilizando el buscador inteligente.</t>
  </si>
  <si>
    <t>1126_16_3</t>
  </si>
  <si>
    <t>-</t>
  </si>
  <si>
    <t>Reporte del avance cualitativo de la gestión para la optimización de las herramientas tecnológicas.</t>
  </si>
  <si>
    <t>Informe de los sistemas optimizados</t>
  </si>
  <si>
    <t>1126_17</t>
  </si>
  <si>
    <t>Propuesta de simplificación, racionalización y virtualización de trámites realizada</t>
  </si>
  <si>
    <t>Elaborar 4 propuestas de simplificación, racionalización y virtualización de trámites</t>
  </si>
  <si>
    <t>Elaborar 4 Propuestas De Simplificación, Racionalización Y Virtualización De Trámites</t>
  </si>
  <si>
    <t>1126_17_1</t>
  </si>
  <si>
    <t>Implementar la propuesta de simplificación, racionalización y virtualización de trámites</t>
  </si>
  <si>
    <t>Un documento de propuesta de racionalización, simplificación y virtualización de trámites.</t>
  </si>
  <si>
    <t>1126_10</t>
  </si>
  <si>
    <t>Servicios prestados por la RED CADE</t>
  </si>
  <si>
    <t>Prestar 152,900,000 de servicios y trámites en la Red CADE</t>
  </si>
  <si>
    <t>Prestar 152900000 Servicios Y Trámites En La Red Cade.</t>
  </si>
  <si>
    <t>1126_10_1</t>
  </si>
  <si>
    <t>Contratar Bolsa Logística</t>
  </si>
  <si>
    <t>Contrato de Bolsa Logística</t>
  </si>
  <si>
    <t>Mejoramiento de infraestructura física</t>
  </si>
  <si>
    <t>Mejoramiento de servicio y contratación de personal para la Red CADE y SDQS</t>
  </si>
  <si>
    <t>Mejorar infraestructura tecnológica de la Red</t>
  </si>
  <si>
    <t>1126_10_2</t>
  </si>
  <si>
    <t>Reporte de actividades realizadas por la cuadrilla (mes vcencido).</t>
  </si>
  <si>
    <t>1126_10_3</t>
  </si>
  <si>
    <t>Reporte de estadísticas de servicio ofrecido en la red CADE por los diferentes canales.</t>
  </si>
  <si>
    <t>1. Reporte del número de contratos suscritos para la actividad de mejoramiento del servicio para la red CADE y SDQS.
2. Reporte de estadísticas de servicio ofrecido en la red CADE por los diferentes canales.</t>
  </si>
  <si>
    <t>1126_10_4</t>
  </si>
  <si>
    <t>Reporte de estadísticas de casos resueltos en el mes relacionados con tecnología en la Red CADE.</t>
  </si>
  <si>
    <t>1126_15</t>
  </si>
  <si>
    <t>Evaluaciones de la formulación e implementación del Modelo de Prestación de Servicios y Seguimiento para la atención a la ciudadanía, realizadas</t>
  </si>
  <si>
    <t>Elaborar 4 evaluaciones de la formulación e implementación del modelo de prestación de servicios y seguimiento para la atención a la ciudadanía</t>
  </si>
  <si>
    <t>Elaborar 4 Evaluaciones De La Formulación E Implementación Del Modelo De Prestación De Servicios Y Seguimiento Para La Atención A La Ciudadanía</t>
  </si>
  <si>
    <t>1126_15_1</t>
  </si>
  <si>
    <t>Realizar una evaluación de resultados de la implementación modelo de prestación de servicios y seguimiento para la atención a la ciudadanía</t>
  </si>
  <si>
    <t>Un documento con los resultados  con corte al primer trimestre de 2020, de la implementación de la PPDSC.</t>
  </si>
  <si>
    <t>1127_3</t>
  </si>
  <si>
    <t>43 - Modernización institucional</t>
  </si>
  <si>
    <t>Espacios dotados con bienes muebles</t>
  </si>
  <si>
    <t>Dotar 80 porciento de espacios de la Secretaría General de acuerdo a las solicitudes</t>
  </si>
  <si>
    <t>Dotar 80 Porciento De Espacios De La Secretaría General De Acuerdo A Las Solicitudes</t>
  </si>
  <si>
    <t>1127_3_1</t>
  </si>
  <si>
    <t>Dotar las instalaciones de mobiliario y enseres necesarios para el funcionamiento de la entidad.</t>
  </si>
  <si>
    <t>Suministrar e instalar la red contra incendios en la sede del Archivo Distrital de la Secretaría General.</t>
  </si>
  <si>
    <t>1127_3_2</t>
  </si>
  <si>
    <t>1127_1</t>
  </si>
  <si>
    <t>Mantenimientos preventivos realizados</t>
  </si>
  <si>
    <t>Realizar el  100% de los mantenimientos preventivos en la Secretaría General</t>
  </si>
  <si>
    <t>Realizar 100 Por Ciento De Los Mantenimientos Preventivos De La Secretaria General.</t>
  </si>
  <si>
    <t>1127_1_1</t>
  </si>
  <si>
    <t>Adquirir los insumos para hacer los mantenimientos correspondientes</t>
  </si>
  <si>
    <t>Implementar el Plan de acción 2020 del Plan Institucional de Gestión Ambiental - PIGA, en el marco del sistema integrado de gestión.</t>
  </si>
  <si>
    <t>Llevar a cabo las actividades de planeación, ejecución, seguimiento y control del proyecto</t>
  </si>
  <si>
    <t>Realizar la Actualización de Inventarios</t>
  </si>
  <si>
    <t>1127_1_2</t>
  </si>
  <si>
    <t>Seguimiento a matriz de actividades establecidas en el Plan de acción PIGA 2020.</t>
  </si>
  <si>
    <t>1127_1_3</t>
  </si>
  <si>
    <t>Relación de la ejecución de mantenimientos y adecuaciones requeridas por las dependencias</t>
  </si>
  <si>
    <t>1127_1_4</t>
  </si>
  <si>
    <t xml:space="preserve">Plan de trabajo de la toma fisica inventarios
</t>
  </si>
  <si>
    <t xml:space="preserve">Informe de avance plan de trabajo inventarios </t>
  </si>
  <si>
    <t>Espacios conservados y adecuados</t>
  </si>
  <si>
    <t>Conservar y adecuar 4 espacios de la Secretaría General</t>
  </si>
  <si>
    <t>Conservar y adecuar 4  espacios de la Secretaría General</t>
  </si>
  <si>
    <t>1127_2_1</t>
  </si>
  <si>
    <t>Llevar a cabo y hacer seguimiento y control a las obras de adecuación y conservación de la Secretaría General</t>
  </si>
  <si>
    <t>1143_1</t>
  </si>
  <si>
    <t>Campañas y acciones de comunicación pública realizadas</t>
  </si>
  <si>
    <t>Realizar 67 campañas y acciones de comunicación pública</t>
  </si>
  <si>
    <t>Realizar 67 Campañas Y Acciones De Comunicacion Publica.</t>
  </si>
  <si>
    <t>1143_1_1</t>
  </si>
  <si>
    <t>Apoyar el desarrollo de los procesos misionales de la oficina consejería de comunicaciones de la Secretaría General de la Alcaldia Mayor de Bogota</t>
  </si>
  <si>
    <t>GLENDA MARTINEZ</t>
  </si>
  <si>
    <t>Informe Gestión (Ejecución Contractual, Presupuestal, Sistema de Gestión de Calidad, Indicadores Proyecto de Inversión)</t>
  </si>
  <si>
    <t>Diseñar y elaborar estrategías, campañas y piezas comunicacionales para los procesos de comunicación interna de la Secretaría General</t>
  </si>
  <si>
    <t>Diseñar y elaborar las estrategías, campañas y piezas comunicacionales y de merchandising solicitadas por los diferentes actores del distrito capital</t>
  </si>
  <si>
    <t>Emprender acciones para la divulgación de las campañas o piezas producidas en los medios o canales de comunicación definidos para tal fin</t>
  </si>
  <si>
    <t>1143_1_2</t>
  </si>
  <si>
    <t>Publicaciones Soy 10</t>
  </si>
  <si>
    <t>1143_1_3</t>
  </si>
  <si>
    <t>Piezas Comunicacionales (Productos Audiovisuales)</t>
  </si>
  <si>
    <t>Campañas Internas Secretaría General</t>
  </si>
  <si>
    <t>1143_1_4</t>
  </si>
  <si>
    <t>Boletines Informativos</t>
  </si>
  <si>
    <t>1143_3</t>
  </si>
  <si>
    <t>Informes de evaluaciones de percepción ciudadana respecto a problemas de ciudad, políticas públicas, programas, acciones y decisiones de la Administración Distrital realizados</t>
  </si>
  <si>
    <t>Realizar 61 informes de evaluaciones de percepcion ciudadana respecto a problemas de ciudad, politicas publicas, programas, acciones y decisiones de la administracion</t>
  </si>
  <si>
    <t>Realizar 61 Informes De Evaluaciones De Percepcion Ciudadana Respecto A Problemas De Ciudad, Politicas Publicas, Programas, Acciones Y Decisiones De La Administracion Distrital.</t>
  </si>
  <si>
    <t>1143_3_1</t>
  </si>
  <si>
    <t>Realizar el monitoreo permanente de la información generada respecto de la Alcaldía Mayor de Bogotá D.C., en los diferentes medios de comunicación</t>
  </si>
  <si>
    <t>Informe Estrategico de Medios (Monitoreo)</t>
  </si>
  <si>
    <t>Realizar medición y análisis de opinión pública de manera cuantitativa y cualitativa en el distrito capital, abordando diferentes temáticas</t>
  </si>
  <si>
    <t>1143_3_2</t>
  </si>
  <si>
    <t>Informe de Percepción Ciudadana</t>
  </si>
  <si>
    <t>1156_8</t>
  </si>
  <si>
    <t>03 - Pilar Construcción de comunidad y cultura ciudadana</t>
  </si>
  <si>
    <t>23 - Bogotá mejor para las víctimas, la paz y la reconciliación</t>
  </si>
  <si>
    <t>Implementación de las medidas de reparación integral que fueron acordadas con los sujetos en el Distrito Capital.</t>
  </si>
  <si>
    <t>Implementar 100 porciento de medidas de reparación integral que fueron acordadas con los sujetos en el Distrito Capital.</t>
  </si>
  <si>
    <t>Implementar 100 Porciento De Medidas De Reparación Integral Que Fueron Acordadas Con Los Sujetos En El Distrito Capital.</t>
  </si>
  <si>
    <t>1156_8_1</t>
  </si>
  <si>
    <t>Desarrollar  productos culturales y artísticos creados para la ciudadanía en temas de memoria, paz y reconciliación</t>
  </si>
  <si>
    <t>Carlos Vladimir Rodriguez</t>
  </si>
  <si>
    <t>-Actas de reunión
-Correos electronicos
-Fotografías</t>
  </si>
  <si>
    <t>Desarrollar actividades de desarrollo empresarial y formación para el trabajo, en las fases de alistamiento, implementación y seguimiento.</t>
  </si>
  <si>
    <t>Desarrollar productos educativos para la pedagogía social y la formación de ciudadanía en memoria, paz y reconciliación</t>
  </si>
  <si>
    <t>Implementación  de medidas del plan de retornos o reubicaciones</t>
  </si>
  <si>
    <t>Priorizar, implementar y monitorear las medidas de reparación con los sujetos colectivos de acuerdo con los compromisos adquiridos por el Distrito</t>
  </si>
  <si>
    <t>1156_8_2</t>
  </si>
  <si>
    <t>1156_8_3</t>
  </si>
  <si>
    <t>1156_8_4</t>
  </si>
  <si>
    <t>1156_8_5</t>
  </si>
  <si>
    <t>1156_7</t>
  </si>
  <si>
    <t>Protocolo de participación efectivo de las victimas del conflicto armado, implementado y ajustado</t>
  </si>
  <si>
    <t>Implementar 100 porciento del protocolo de participación efectiva de las victimas del conflicto armado en el distrito capital.</t>
  </si>
  <si>
    <t>Implementar 100 Porciento Del Protocolo De Participación Efectiva De Las Victimas Del Conflicto Armado En El Distrito Capital.</t>
  </si>
  <si>
    <t>1156_7_1</t>
  </si>
  <si>
    <t>Apoyar técnica y operativamente a las mesas de participación efectiva de las víctimas del conflicto armado del distrito capital de acuerdo con el protocolo de participación</t>
  </si>
  <si>
    <t>Implementar y evaluar procesos de formación y fortalecimiento de las mesas de participación efectiva de las víctimas del conflicto armado</t>
  </si>
  <si>
    <t>1156_7_2</t>
  </si>
  <si>
    <t>1156_9</t>
  </si>
  <si>
    <t>Comités Distritales de Justicia Transicional realizados anualmente, para la coordinación del Sistema Distrital de Atención y Reparación Integral a las Víctimas - SDARIV-</t>
  </si>
  <si>
    <t>Realizar 3 Comites Distritales de Justicia Transicional anualmente, para la coordinacion del Sistema Distrital de Atencion y Reparacion Integral a las Victimas-SDARIV</t>
  </si>
  <si>
    <t>Realizar 3 Comites Distritales De Justicia Transicional Anualmente, Para La Coordinacion Del Sistema Distrital De Atencion Y Reparacion Integral A Las Victimas-Sdariv</t>
  </si>
  <si>
    <t>1156_9_1</t>
  </si>
  <si>
    <t>Brindar asistencia técnica para la formulación, implementación, seguimiento y evaluación a la politica pública en el Distrito.</t>
  </si>
  <si>
    <t>-Actas de reunión del comite
-Correos electronicos
-Fotografías
-Listados de asistencia</t>
  </si>
  <si>
    <t>Diseñar, implementar y hacer seguimiento a una estrategia de divulgación y sensibilización de la polìtica pública de víctimas</t>
  </si>
  <si>
    <t>Ejercer la secretaría técnica del Comité Distrital de Justicia Transicional y sus espacios respectivos</t>
  </si>
  <si>
    <t>Formular, actualizar y hacer seguimiento al Plan de Acción Distrital de víctimas, paz y reconciliación en el marco del Comité Distrital de Justicia Transicional</t>
  </si>
  <si>
    <t>Gestión de alianzas con entidades públicas y/o privadas y cooperación internacional para la implementación de la política de víctimas, paz y reconciliación</t>
  </si>
  <si>
    <t>Gestión de la información para el mejoramiento de la coordinación, articulación y toma de decisiones en el Sistema Distrital de Atención y Reparación a Víctimas, Paz y Reconciliación</t>
  </si>
  <si>
    <t>1156_9_2</t>
  </si>
  <si>
    <t>1156_9_3</t>
  </si>
  <si>
    <t>1156_9_4</t>
  </si>
  <si>
    <t>1156_9_5</t>
  </si>
  <si>
    <t>1156_9_6</t>
  </si>
  <si>
    <t>1156_9_7</t>
  </si>
  <si>
    <t>Realizar las gestiones corporativas y de planificación necesarias para brindar medidas de asistencia, atención y reparación integral a las víctimas del conflicto armado en cumplimiento de las competencias de ACDVPR</t>
  </si>
  <si>
    <t>1156_2</t>
  </si>
  <si>
    <t>Medidas de ayuda humanitaria otorgadas en los términos establecidos en la Ley 1448 de 2011, la normatividad y la jurisprudencia vigente</t>
  </si>
  <si>
    <t>Otorgar el 100 porciento de medidas de ayuda humanitaria en el distrito capital.</t>
  </si>
  <si>
    <t>Otorgar El 100 Porciento De Medidas De Ayuda Humanitari En El Distrito Capital.</t>
  </si>
  <si>
    <t>1156_2_1</t>
  </si>
  <si>
    <t>Otorgar ayuda humanitaria en los términos establecidos en la Ley 1448 de 2011 y la normatividad y jurisprudencia vigente</t>
  </si>
  <si>
    <t>-Informe cualitativo con reporte de las medidas entregadas mensualmente
Carpeta articulación CLAV
Carpeta de articulación nivel central
Carpeta de asistencia funeraria
Carpeta de capacitaciones
Carpeta de informes de coordinación CLAV</t>
  </si>
  <si>
    <t>1156_3</t>
  </si>
  <si>
    <t>Personas con Planes Integrales de Atención con seguimiento (PIA) aplicados</t>
  </si>
  <si>
    <t>Aplicar a 80.000 personas Planes integrades de Atenciòn (PIA) con seguimiento (PAS) en el Distrito Capital</t>
  </si>
  <si>
    <t>Aplicar A 80000 Personas  Planes Integrades De Atenciòn (Pia) Con Seguimiento (Pas)  En El Distrito Capital</t>
  </si>
  <si>
    <t>1156_3_1</t>
  </si>
  <si>
    <t>Articular la oferta de las entidades que tienen presencia en los CLAV</t>
  </si>
  <si>
    <t>-Informe cualitativo con reporte de las personas caracterizadas mensualmente.</t>
  </si>
  <si>
    <t>Garantizar la operación y normal funcionamiento de los Centros Locales de Atención - CLAV y puntos de operación</t>
  </si>
  <si>
    <t>Operar el sistema de referencia y contra referencia de los servicios prestados en el  marco de los PIA</t>
  </si>
  <si>
    <t>1156_3_2</t>
  </si>
  <si>
    <t>1156_3_3</t>
  </si>
  <si>
    <t>7546_3</t>
  </si>
  <si>
    <t>Supervisar el 100% de las actividades en el proceso de la etapa de pre-construcción del CAD</t>
  </si>
  <si>
    <t>Supervisar El 100 Porciento De Las Actividades De La Etapa De Pre-Construcción</t>
  </si>
  <si>
    <t>7546_3_1</t>
  </si>
  <si>
    <t>Apoyar técnicamente el desarrollo de actividades dirigidas al fortalecimiento y modernizacion de la gestión pública distrital.</t>
  </si>
  <si>
    <t>META</t>
  </si>
  <si>
    <t>Nombre del Plan de Desarrollo</t>
  </si>
  <si>
    <t>Cargo del responsable</t>
  </si>
  <si>
    <t>Nombre del responsable</t>
  </si>
  <si>
    <t>Perspectiva Estratégica</t>
  </si>
  <si>
    <t>Objetivo Estratégico</t>
  </si>
  <si>
    <t>Acción Estratégica</t>
  </si>
  <si>
    <t>META V1</t>
  </si>
  <si>
    <t>Descripción del Indicador</t>
  </si>
  <si>
    <t>Fórmula del indicador</t>
  </si>
  <si>
    <t>Variable 1</t>
  </si>
  <si>
    <t>Variable 2</t>
  </si>
  <si>
    <t>Producto</t>
  </si>
  <si>
    <t>Tendencia anual esperada V1</t>
  </si>
  <si>
    <t>Dimensión del indicador</t>
  </si>
  <si>
    <t>Tipo de indicador</t>
  </si>
  <si>
    <t>FECHA DE CREACIÓN</t>
  </si>
  <si>
    <t>Dato Línea base</t>
  </si>
  <si>
    <t>Año línea base</t>
  </si>
  <si>
    <t>TOTAL META 2016</t>
  </si>
  <si>
    <t>TOTAL META 2017</t>
  </si>
  <si>
    <t>TOTAL META 2020</t>
  </si>
  <si>
    <t>TOTAL META PLURIANUAL A 2020</t>
  </si>
  <si>
    <t>Meta 2016 Inicial según segplan</t>
  </si>
  <si>
    <t>Meta 2017 Inicial según segplan</t>
  </si>
  <si>
    <t>Meta 2018 Inicial según segplan</t>
  </si>
  <si>
    <t>Meta 2019 Inicial según segplan</t>
  </si>
  <si>
    <t>Meta 2020 Inicial según segplan</t>
  </si>
  <si>
    <t>Meta Cuatrienio Inicial según segplan</t>
  </si>
  <si>
    <t>Meta 2016</t>
  </si>
  <si>
    <t>Meta 2017</t>
  </si>
  <si>
    <t>Meta 2018</t>
  </si>
  <si>
    <t>Meta 2019</t>
  </si>
  <si>
    <t>Meta Cuatrienio</t>
  </si>
  <si>
    <t>Ejecución 2016</t>
  </si>
  <si>
    <t>Ejecución 2017</t>
  </si>
  <si>
    <t>Ejecución 2018</t>
  </si>
  <si>
    <t>Ejecución 2019</t>
  </si>
  <si>
    <t>Ejecución 2020</t>
  </si>
  <si>
    <t>Ejecución Cuatrienio</t>
  </si>
  <si>
    <t>Avance 2016</t>
  </si>
  <si>
    <t>Avance 2017</t>
  </si>
  <si>
    <t>Avance 2018</t>
  </si>
  <si>
    <t>Avance 2019</t>
  </si>
  <si>
    <t>Avance 2020</t>
  </si>
  <si>
    <t>Apropiación 2016</t>
  </si>
  <si>
    <t>Apropiación 2017</t>
  </si>
  <si>
    <t>Apropiación 2018</t>
  </si>
  <si>
    <t>Apropiación 2019</t>
  </si>
  <si>
    <t>Apropiación 2020</t>
  </si>
  <si>
    <t>Apropiación Cuatrienio</t>
  </si>
  <si>
    <t>Compromisos 2016</t>
  </si>
  <si>
    <t>Compromisos 2017</t>
  </si>
  <si>
    <t>Compromisos 2018</t>
  </si>
  <si>
    <t>Compromisos 2019</t>
  </si>
  <si>
    <t>Compromisos 2020</t>
  </si>
  <si>
    <t>Compromisos Cuatrienio</t>
  </si>
  <si>
    <t xml:space="preserve">Plan de Desarrollo - Meta Resultado, </t>
  </si>
  <si>
    <t xml:space="preserve">Plan de Desarrollo - Meta Producto, </t>
  </si>
  <si>
    <t xml:space="preserve">Plan Estratégico Institucional, </t>
  </si>
  <si>
    <t xml:space="preserve">Plan de Acción, </t>
  </si>
  <si>
    <t xml:space="preserve">Proyecto de inversión: </t>
  </si>
  <si>
    <t>CODIGO DEL PROYECTO</t>
  </si>
  <si>
    <t xml:space="preserve">SGC, </t>
  </si>
  <si>
    <t xml:space="preserve">PAAC, </t>
  </si>
  <si>
    <t xml:space="preserve">Componente PAAC, </t>
  </si>
  <si>
    <t xml:space="preserve">PMR, </t>
  </si>
  <si>
    <t xml:space="preserve">PIGA, </t>
  </si>
  <si>
    <t xml:space="preserve">MUJER, </t>
  </si>
  <si>
    <t xml:space="preserve">LGBTI, </t>
  </si>
  <si>
    <t xml:space="preserve">PINAR, </t>
  </si>
  <si>
    <t xml:space="preserve">PLAN ANUAL DE ADQUISICIONES
PAA, </t>
  </si>
  <si>
    <t xml:space="preserve">PLAN ANUAL DE VACANTES, </t>
  </si>
  <si>
    <t>PLAN DE PREVISIÓN DE RECURSOS HUMANOS,</t>
  </si>
  <si>
    <t xml:space="preserve">PLAN ESTRATÉGICO DE TALENTO HUMANO, </t>
  </si>
  <si>
    <t xml:space="preserve">PLAN INSTITUCIONAL DE CAPACITACIÓN, </t>
  </si>
  <si>
    <t xml:space="preserve">PLAN DE INCENTIVOS INSTITUCIONALES, </t>
  </si>
  <si>
    <t xml:space="preserve">PLAN DE TRABAJO ANUAL EN SEGURIDAD Y SALUD EN EL TRABAJO, </t>
  </si>
  <si>
    <t xml:space="preserve">PLAN ESTRATÉGICO DE TECNOLOGÍAS DE INFORMACIÓN Y LAS COMUNICACIONES (PETI), </t>
  </si>
  <si>
    <t>PLAN DE TRATAMIENTO DE RIESGOS  DE SEGURIDAD Y PRIVACIDAD DE LA INFORMACIÓN,</t>
  </si>
  <si>
    <t>PLAN DE SEGURIDAD Y PRIVACIDAD DE LA INFORMACIÓN,</t>
  </si>
  <si>
    <t>CONPES
(Número del Documento CONPES_ID),</t>
  </si>
  <si>
    <t xml:space="preserve">OPORTUNIDAD contexto estrategico: </t>
  </si>
  <si>
    <t xml:space="preserve">ODS, </t>
  </si>
  <si>
    <t xml:space="preserve">X, </t>
  </si>
  <si>
    <t>Y,</t>
  </si>
  <si>
    <t>Registrado en</t>
  </si>
  <si>
    <t>Programación Enero</t>
  </si>
  <si>
    <t>Programación Febrero</t>
  </si>
  <si>
    <t>Programación Marzo</t>
  </si>
  <si>
    <t>Programación Abril</t>
  </si>
  <si>
    <t>Programación Mayo</t>
  </si>
  <si>
    <t>Programación Junio</t>
  </si>
  <si>
    <t>Enero_V1V2</t>
  </si>
  <si>
    <t>Febrero_V1V2</t>
  </si>
  <si>
    <t>Marzo_V1V2</t>
  </si>
  <si>
    <t>Abril_V1V2</t>
  </si>
  <si>
    <t>Mayo_V1V2</t>
  </si>
  <si>
    <t>Total_V1_V2</t>
  </si>
  <si>
    <t>Enero_AvanceCuanti</t>
  </si>
  <si>
    <t>Febrero_AvanceCuanti</t>
  </si>
  <si>
    <t>Marzo_AvanceCuanti</t>
  </si>
  <si>
    <t>Abril_AvanceCuanti</t>
  </si>
  <si>
    <t>Mayo_AvanceCuanti</t>
  </si>
  <si>
    <t>Junio_AvanceCuanti</t>
  </si>
  <si>
    <t>Total_AvanceCuanti</t>
  </si>
  <si>
    <t>Enero_%Cumplimiento</t>
  </si>
  <si>
    <t>Febrero_%Cumplimiento</t>
  </si>
  <si>
    <t>Marzo_%Cumplimiento</t>
  </si>
  <si>
    <t>Abril_%Cumplimiento</t>
  </si>
  <si>
    <t>Mayo_%Cumplimiento</t>
  </si>
  <si>
    <t>Junio_%Cumplimiento</t>
  </si>
  <si>
    <t>Descripción del indicador vigente</t>
  </si>
  <si>
    <t>Actividades vigentes</t>
  </si>
  <si>
    <t>Beneficios, Efectos o Impactos Esperados, vigentes</t>
  </si>
  <si>
    <t>Fuentes de información verificable vigentes</t>
  </si>
  <si>
    <t>T1_Cumplimiento</t>
  </si>
  <si>
    <t>T2_Cumplimiento</t>
  </si>
  <si>
    <t>T3_Cumplimiento</t>
  </si>
  <si>
    <t>T4_Cumplimiento</t>
  </si>
  <si>
    <t>Total_%Cumplimiento</t>
  </si>
  <si>
    <t>T2_Avance</t>
  </si>
  <si>
    <t>T3_Avance</t>
  </si>
  <si>
    <t>T4_Avance</t>
  </si>
  <si>
    <t>01_PAAC</t>
  </si>
  <si>
    <t>No Aplica</t>
  </si>
  <si>
    <t>Cumplir con el 100% de las actividades programadas en el componente 1 del Plan anticorrupción y Atención al Ciudadano</t>
  </si>
  <si>
    <t>Bogotá Mejor Para Todos</t>
  </si>
  <si>
    <t>P1 -  ÉTICA, BUEN GOBIERNO Y TRANSPARENCIA</t>
  </si>
  <si>
    <t>P1O1 Consolidar a 2020 una cultura de visión y actuación ética,  integra y transparente</t>
  </si>
  <si>
    <t>P1O1A11 Realizar la formulación y el seguimiento a la ejecución del Plan Anticorrupción y de Atención al Ciudadano - PAAC, para la obtención de resultados óptimos en la medición del Índice de Gobierno Abierto - IGA</t>
  </si>
  <si>
    <t>Porcentaje de avance en las actividades del componente 1 del Plan Anticorrupción y Atención al Ciudadano</t>
  </si>
  <si>
    <t>Este indicador mide el avance en la ejecución de las actividades programadas en la vigencia, para el Componente 1 del Plan Anticorrupción y Atención al Ciudadano en la Secretaria General de la Alcaldía Mayor de Bogotá D.C.</t>
  </si>
  <si>
    <t>(Actividades ejecutadas / Actividades programadas) *100</t>
  </si>
  <si>
    <t>Actividades ejecutadas</t>
  </si>
  <si>
    <t>Actividades programadas</t>
  </si>
  <si>
    <t>Componente 1 del Plan Anticorrupción y Atención al Ciudadano cumplido</t>
  </si>
  <si>
    <t>Prestar apoyo técnico a las dependencias en lo relacionado con la formulación y el desarrollo de las actividades asociadas al componente 1 del Plan Anticorrupción y Atención al Ciudadano.
Hacer monitoreo y seguimiento a las dependencias responsables de la ejecución de las actividades programadas en el componenente 1 del Plan Anticorrupción y Atención al Ciudadano.</t>
  </si>
  <si>
    <t>Identificar, analizar y controlar los posibles hechos generadores de corrupción, tanto internos como externos, conforme a lo establecido en la "Guía para la administración del
riesgo y el diseño de controles en entidades públicas" y  el documento “Estrategias para la construcción del Plan Anticorrupción y de Atención al Ciudadano”</t>
  </si>
  <si>
    <t>Botón de transparencia de la página web de la Secretaría General
Informe de seguimiento y monitoreo al Mapa de Riesgos de Corrupción
Reportes de las dependencias</t>
  </si>
  <si>
    <t>Eficiencia</t>
  </si>
  <si>
    <t>Resultado</t>
  </si>
  <si>
    <t>No Disponible / No Aplica</t>
  </si>
  <si>
    <t>02_PAAC</t>
  </si>
  <si>
    <t>Cumplir con el 100% de las actividades programadas en el componente 2 del Plan anticorrupción y Atención al Ciudadano</t>
  </si>
  <si>
    <t>Porcentaje de avance en las actividades del componente 2 del Plan Anticorrupción y Atención al Ciudadano</t>
  </si>
  <si>
    <t>Este indicador mide el avance en la ejecución de las actividades programadas en la vigencia, para el Componente 2 del Plan Anticorrupción y Atención al Ciudadano en la Secretaria General de la Alcaldía Mayor de Bogotá D.C.</t>
  </si>
  <si>
    <t>Componente 2 del Plan Anticorrupción y Atención al Ciudadano cumplido</t>
  </si>
  <si>
    <t>Prestar apoyo técnico a las dependencias en lo relacionado con la formulación y el desarrollo de las actividades asociadas al componente 2 del Plan Anticorrupción y Atención al Ciudadano.
Hacer monitoreo y seguimiento a las dependencias responsables de la ejecución de las actividades programadas en el componenente 2 del Plan Anticorrupción y Atención al Ciudadano.</t>
  </si>
  <si>
    <t>Facilitar al ciudadano el acceso a los trámites y servicios que brinda la entidad, con el ánimo de  simplificar el proceso y reducir tiempos y costos asociados y  generar esquemas no presenciales de acceso al trámite a través del uso de las herramientas tecnológicas</t>
  </si>
  <si>
    <t xml:space="preserve">Botón de transparencia de la página web de la Secretaría General
Plataforma SUIT
</t>
  </si>
  <si>
    <t>03_PAAC</t>
  </si>
  <si>
    <t>Cumplir con el 100% de las actividades programadas en el componente 3 del Plan anticorrupción y Atención al Ciudadano</t>
  </si>
  <si>
    <t>Porcentaje de avance en las actividades del componente 3 del Plan Anticorrupción y Atención al Ciudadano</t>
  </si>
  <si>
    <t>Este indicador mide el avance en la ejecución de las actividades programadas en la vigencia, para el Componente 3 del Plan Anticorrupción y Atención al Ciudadano en la Secretaria General de la Alcaldía Mayor de Bogotá D.C.</t>
  </si>
  <si>
    <t>Componente 3 del Plan Anticorrupción y Atención al Ciudadano cumplido</t>
  </si>
  <si>
    <t>Prestar apoyo técnico a las dependencias en lo relacionado con la formulación y el desarrollo de las actividades asociadas al componente 3 del Plan Anticorrupción y Atención al Ciudadano.
Hacer monitoreo y seguimiento a las dependencias responsables de la ejecución de las actividades programadas en el componenente 3 del Plan Anticorrupción y Atención al Ciudadano.</t>
  </si>
  <si>
    <t>Afianzar la relación entre la ciudadanía y la entidad, donde se informe, explique y se dé a conocer los resultados de la gestión al ciudadano, la sociedad civil, otras entidades públicas y a los organismos de control</t>
  </si>
  <si>
    <t>Botón de transparencia de la página web de la Secretaría General
Reportes de las dependencias</t>
  </si>
  <si>
    <t>04_PAAC</t>
  </si>
  <si>
    <t>Cumplir con el 100% de las actividades programadas en el componente 4 del Plan anticorrupción y Atención al Ciudadano</t>
  </si>
  <si>
    <t>Porcentaje de avance en las actividades del componente 4 del Plan Anticorrupción y Atención al Ciudadano</t>
  </si>
  <si>
    <t>Este indicador mide el avance en la ejecución de las actividades programadas en la vigencia, para el Componente 4 del Plan Anticorrupción y Atención al Ciudadano en la Secretaria General de la Alcaldía Mayor de Bogotá D.C.</t>
  </si>
  <si>
    <t>Componente 4 del Plan Anticorrupción y Atención al Ciudadano cumplido</t>
  </si>
  <si>
    <t>Prestar apoyo técnico a las dependencias en lo relacionado con la formulación y el desarrollo de las actividades asociadas al componente 4 del Plan Anticorrupción y Atención al Ciudadano.
Hacer monitoreo y seguimiento a las dependencias responsables de la ejecución de las actividades programadas en el componenente 4 del Plan Anticorrupción y Atención al Ciudadano.</t>
  </si>
  <si>
    <t>Mejorar la satisfacción de los ciudadanos, facilitando el ejercicio de sus derechos dentro del marco de la Política Nacional de Eficiencia Administrativa al Servicio del Ciudadano (Conpes 3785 de 2013), de acuerdo con los lineamientos del Programa Nacional de Servicio al Ciudadano</t>
  </si>
  <si>
    <t>05_PAAC</t>
  </si>
  <si>
    <t>Cumplir con el 100% de las actividades programadas en el componente 5 del Plan anticorrupción y Atención al Ciudadano</t>
  </si>
  <si>
    <t>Porcentaje de avance en las actividades del componente 5 del Plan Anticorrupción y Atención al Ciudadano</t>
  </si>
  <si>
    <t>Este indicador mide el avance en la ejecución de las actividades programadas en la vigencia, para el Componente 5 del Plan Anticorrupción y Atención al Ciudadano en la Secretaria General de la Alcaldía Mayor de Bogotá D.C.</t>
  </si>
  <si>
    <t>Componente 5 del Plan Anticorrupción y Atención al Ciudadano cumplido</t>
  </si>
  <si>
    <t>Prestar apoyo técnico a las dependencias en lo relacionado con la formulación y el desarrollo de las actividades asociadas al componente 5 del Plan Anticorrupción y Atención al Ciudadano.
Hacer monitoreo y seguimiento a las dependencias responsables de la ejecución de las actividades programadas en el componenente 5 del Plan Anticorrupción y Atención al Ciudadano.</t>
  </si>
  <si>
    <t>Desarrollar acciones para la implementación de la ley 1712 de 2014 y los lineamientos  del primer objetivo del CONPES 167 de 2013 “Estrategia para el mejoramiento del acceso y la calidad de la información pública”</t>
  </si>
  <si>
    <t>06_PAAC</t>
  </si>
  <si>
    <t>Cumplir con el 100% de las actividades programadas en el componente 6 del Plan anticorrupción y Atención al Ciudadano</t>
  </si>
  <si>
    <t>Porcentaje de avance en las actividades del componente 6 del Plan Anticorrupción y Atención al Ciudadano</t>
  </si>
  <si>
    <t>Este indicador mide el avance en la ejecución de las actividades programadas en la vigencia, para el Componente 6 del Plan Anticorrupción y Atención al Ciudadano en la Secretaria General de la Alcaldía Mayor de Bogotá D.C.</t>
  </si>
  <si>
    <t>Componente 6 del Plan Anticorrupción y Atención al Ciudadano cumplido</t>
  </si>
  <si>
    <t>Prestar apoyo técnico a las dependencias en lo relacionado con la formulación y el desarrollo de las actividades asociadas al componente 6 del Plan Anticorrupción y Atención al Ciudadano.
Hacer monitoreo y seguimiento a las dependencias responsables de la ejecución de las actividades programadas en el componenente 6 del Plan Anticorrupción y Atención al Ciudadano.</t>
  </si>
  <si>
    <t>Promocionar prácticas éticas en la gestión cotidiana que permitan fortalecer la cultura organizacional y generar cambios comportamentales en los Funcionarios y Contratistas de la Entidad, tendientes a la no tolerancia con la corrupción.</t>
  </si>
  <si>
    <t>Reportes de las dependencias</t>
  </si>
  <si>
    <t>Elaborar el Anteproyecto de Presupuesto Secretaria General</t>
  </si>
  <si>
    <t>P3 -  EFICIENCIA</t>
  </si>
  <si>
    <t>P3O2
Mejorar la calidad y oportunidad de la ejecución presupuestal y de cumplimiento de metas, afianzando la austeridad y la eficiencia en el uso de los recursos como conductas distintivas de nuestra cultura institucional.</t>
  </si>
  <si>
    <t>P3O2A3 Implementar estrategias internas de austeridad y eficiencia en el uso de recursos</t>
  </si>
  <si>
    <t>Anteproyecto de Presupuesto Secretaria General,  radicados</t>
  </si>
  <si>
    <t>Mide el avance de la presentación ante las entidades distritales del Libro del Anteproyecto de Presupuesto para la Vigencia 2020.</t>
  </si>
  <si>
    <t xml:space="preserve">Número de Libros Anteproyecto de Presupuesto Vigencia 2020     </t>
  </si>
  <si>
    <t>Anteproyecto Secretaria General Radicado</t>
  </si>
  <si>
    <t>Desarrollo de anteproyecto de presupuesto</t>
  </si>
  <si>
    <t>Programación para una eficiente ejecución de los recursos de la entidad</t>
  </si>
  <si>
    <t>Presentación del Libro de Anteproyecto de Presupuesto Vigencia 2020.</t>
  </si>
  <si>
    <t xml:space="preserve">Realizar el monitoreo a la ejecución del Plan Anticorrupción y de Atención al Ciudadano - PAAC </t>
  </si>
  <si>
    <t xml:space="preserve">Plan Anticorrupción y de Atención al Ciudadano - PAAC con monitoreo a la ejecución. </t>
  </si>
  <si>
    <t>Mide el monitoreo realizado por la OAP al cumplimiento de la aplicación del Plan Anticorrupción en la Entidad.</t>
  </si>
  <si>
    <t xml:space="preserve">(Actividades de monitoreo ejecutadas en el cuatrimestre / Actividades de monitoreo programadas en el cuatrimestre) *100 </t>
  </si>
  <si>
    <t>Actividades de monitoreo ejecutadas en el trimestre</t>
  </si>
  <si>
    <t>Actividades de monitoreo programadas en el trimestre</t>
  </si>
  <si>
    <t>Plan Anticorrupción y de Atención al Ciudadano - PAAC</t>
  </si>
  <si>
    <t xml:space="preserve">Realizar el monitoreo bimestral a la ejecución del Plan Anticorrupción y de Atención al Ciudadano - PAAC </t>
  </si>
  <si>
    <t>Cumplimiento del 100% de las actividades programadas en el marco de la lucha contra la corrupción en la Secretaria General de la Alcaldía mayor de Bogotá.</t>
  </si>
  <si>
    <t>Verificación de diligenciamiento de la matriz de seguimiento PAAC</t>
  </si>
  <si>
    <t>Realizar el análisis jurídico de anteproyectos, proyectos de acuerdo y proyectos de ley solicitados a la Oficina Asesora de Jurídica</t>
  </si>
  <si>
    <t xml:space="preserve">P3O1 Lograr la excelencia en procesos de gestión y convertir a la Secretaría General en referente distrital </t>
  </si>
  <si>
    <t>P3O1A6 Definir estrategias para evitar la ocurrencia de fallas administrativas y riesgos en la gestión de la Secretaría General, previniendo el daño antijurídico, a partir del fortalecimiento de la defensa judicial y extrajudicial de la entidad.</t>
  </si>
  <si>
    <t>Análisis jurídico de anteproyectos, proyectos de acuerdo y proyectos de ley, solicitados a la Oficina Asesora de Jurídica, realizado</t>
  </si>
  <si>
    <t>El indicador mide la cantidad de anteproyectos y proyectos de Acuerdo y proyectos de Ley  analizados por la Oficina Asesora de Jurídica frente a las solicitudes que   se presenten a la Dependencia.</t>
  </si>
  <si>
    <t>(Cantidad de Anteproyectos, Proyectos de Acuerdo y Proyectos de Ley, con análisis emitido /  (Cantidad de Anteproyectos, Proyectos de Acuerdo y Proyectos de ley solicitados - Cantidad de Anteproyectos, Proyectos de Acuerdo y Proyectos de Ley en termino, pendientes por resolver)  ) *100</t>
  </si>
  <si>
    <t>Cantidad de Anteproyectos, Proyectos de Acuerdo y Proyectos de Ley, con análisis emitido</t>
  </si>
  <si>
    <t>(Cantidad de Anteproyectos, Proyectos de Acuerdo y Proyectos de ley solicitados - Cantidad de Anteproyectos, Proyectos de Acuerdo y Proyectos de Ley en termino, pendientes por resolver)</t>
  </si>
  <si>
    <t>Análisis jurídico de anteproyectos y proyectos de acuerdo y proyectos de ley solicitados a la Secretaría General</t>
  </si>
  <si>
    <t>Realizar el análisis jurídico de los anteproyectos, proyectos de Acuerdo y de Ley que sean solicitados a la Oficina Asesora de Jurídica con el fin de que la Secretaría General emita conceptos de viabilidad solamente a los que se ajusten a derecho</t>
  </si>
  <si>
    <t>Respaldar jurídicamente a la Secretaría General para avalar solamente los proyectos de acuerdo y de ley que se ajusten al ordenamiento jurídico y que tengan relación con las funciones de la entidad.</t>
  </si>
  <si>
    <t>Base de datos en excel</t>
  </si>
  <si>
    <t>Emitir oportunamente los conceptos jurídicos solicitados</t>
  </si>
  <si>
    <t>Conceptos jurídicos emitidos oportunamente</t>
  </si>
  <si>
    <t>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t>
  </si>
  <si>
    <t>(Cantidad de conceptos jurídicos emitidos oportunamente  / (Cantidad de conceptos jurídicos solicitados - Cantidad de conceptos jurídicos en termino, pendientes por resolver) ) *100</t>
  </si>
  <si>
    <t>Cantidad de conceptos jurídicos emitidos oportunamente</t>
  </si>
  <si>
    <t>(Cantidad de conceptos jurídicos solicitados - Cantidad de conceptos jurídicos en termino, pendientes por resolver)</t>
  </si>
  <si>
    <t>Conceptos jurídicos emitidos oportunamente por la Oficina Asesora de Jurídica</t>
  </si>
  <si>
    <t>Emitir conceptos jurídicos  para dar respuesta a las solicitudes y  orientar a las dependencias de la Secretaría General en aras de que sus actuaciones sean acordes al ordenamiento jurídico.</t>
  </si>
  <si>
    <t xml:space="preserve">Orientar a las diferentes dependencias con el fin de prevenir el daño antijuridico </t>
  </si>
  <si>
    <t>Revisar los proyectos de Actos Administrativos, a solicitud de las dependencias</t>
  </si>
  <si>
    <t>Proyectos de Actos Administrativos, a solicitud de las dependencias, revisados</t>
  </si>
  <si>
    <t xml:space="preserve">El indicador pretende medir  la cantidad de Proyectos de Actos Administrativos revisados frente al número de solicitudes de revisión de Proyectos de  Actos Administrativos </t>
  </si>
  <si>
    <t>(Cantidad de Proyectos de Actos Administrativos revisados  / Cantidad de Proyectos de Actos Administrativos solicitados - cantidad de actos administrativos en oportunidad de revisión. ) *100</t>
  </si>
  <si>
    <t xml:space="preserve">Cantidad de Proyectos de Actos Administrativos revisados </t>
  </si>
  <si>
    <t xml:space="preserve">Cantidad de Proyectos de Actos Administrativos solicitados. </t>
  </si>
  <si>
    <t>Proyectos de Actos Administrativos revisados</t>
  </si>
  <si>
    <t>Revisar los Proyectos de actos administrativos  de la Secretaría General, solicitados a la Oficina Asesora de Jurídica,  verificando que se ajusten al ordenamiento jurídico y a los propósitos de los mismos</t>
  </si>
  <si>
    <t xml:space="preserve">Prestar apoyo juridico a todas las dependencias con el fin de prevenir el daño antijuridico </t>
  </si>
  <si>
    <t xml:space="preserve">Realizar las actuaciones correspondientes, dentro de los  procesos judiciales y trámites extrajudiciales </t>
  </si>
  <si>
    <t>Procesos judiciales y trámites extrajudiciales, con actuaciones correspondientes realizadas</t>
  </si>
  <si>
    <t>El indicador mide la cantidad de requerimientos, frente a los procesos judiciales y trámites extrajudiciales,  las cuales deben responderse dentro del término que otorga la ley para cada caso en especial.</t>
  </si>
  <si>
    <t>(Cantidad de requerimientos realizados, frente a los procesos judiciales y trámites extrajudiciales  / (Cantidad de requerimientos solicitados, frente a los procesos judiciales y trámites extrajudiciales - Cantidad de requerimientos, frente a los procesos judiciales y trámites extrajudiciales en termino, pendientes por resolver) ) *100</t>
  </si>
  <si>
    <t xml:space="preserve">Cantidad de requerimientos realizados, frente a los procesos judiciales y trámites extrajudiciales </t>
  </si>
  <si>
    <t>(Cantidad de requerimientos solicitados, frente a los procesos judiciales y trámites extrajudiciales - Cantidad de requerimientos, frente a los procesos judiciales y trámites extrajudiciales en termino, pendientes por resolver)</t>
  </si>
  <si>
    <t xml:space="preserve">Actuaciones realizadas  dentro de los  procesos judiciales y trámites extrajudiciales </t>
  </si>
  <si>
    <t>Responder oportuna y eficazmente los requerimientos generados con ocasión del desarrollo de los procesos judiciales y trámites extrajudiciales en los que sea parte la Secretaría General.</t>
  </si>
  <si>
    <t>Obtener resultados favorables para la entidad en los procesos judiciales y extrajudiciales y evitar el pago de condenas.</t>
  </si>
  <si>
    <t xml:space="preserve">Ejecutar las Auditorias Internas de Calidad </t>
  </si>
  <si>
    <t>P3O1A4 Identificar oportunidades de mejora en el SIG, a través de la ejecución del proceso de evaluación independiente</t>
  </si>
  <si>
    <t>Auditorias Internas de Calidad ejecutadas</t>
  </si>
  <si>
    <t xml:space="preserve">Mide el grado de ejecución de las Auditorías Internas de calidad planificadas en la vigencia </t>
  </si>
  <si>
    <t>(Número de  Auditorías Internas de calidad ejecutadas en el periodo / Número de  Auditorías Internas de calidad planificadas en el periodo) *100</t>
  </si>
  <si>
    <t>Número de  Auditorías Internas de calidad ejecutadas en el periodo</t>
  </si>
  <si>
    <t>Número de  Auditorías Internas de calidad planificadas en el periodo</t>
  </si>
  <si>
    <t>Informes de Auditorías Internas de calidad</t>
  </si>
  <si>
    <t>1. Planificar la evaluación del SIG
2. Evaluar  integralmente los requisitos del SIG 
3. Presentar resultados de las auditorías realizadas.</t>
  </si>
  <si>
    <t>1. Contribuye al mejoramiento de la calidad dirigido al usuario que requiere de los productos o servicio ofrecidos por la Entidad.
2. Promueve la mejora continua de los procesos de la organización
3. Tomar medidas frente a fallos existentes en los diferentes procesos.</t>
  </si>
  <si>
    <t xml:space="preserve">Cronograma de Auditorias Internas de Calidad
Informes de Auditorias Interna de Calidad
Presentación de Resultados </t>
  </si>
  <si>
    <t xml:space="preserve">Eficacia </t>
  </si>
  <si>
    <t xml:space="preserve">Ejecutar el Plan Anual de Auditorías </t>
  </si>
  <si>
    <t>P3O1A5 Monitorear el cumplimento de los objetivos estratégicos y metas institucionales de la Secretaría General</t>
  </si>
  <si>
    <t>Actividades de aseguramiento y reportes contenidas en el Plan Anual de auditorias, ejecutadas</t>
  </si>
  <si>
    <t>El indicador mide el grado de avance en la ejecución de las evaluaciones y seguimientos del Plan Anual de Auditorías realizados en el periodo, con respecto a la programación de la vigencia.</t>
  </si>
  <si>
    <t>(Actividades de aseguramiento y reportes contenidas en el Plan Anual de auditorias ejecutadas / Actividades de aseguramiento y reportes contenidas en el Plan Anual de auditorias programadas) *100</t>
  </si>
  <si>
    <t xml:space="preserve">Actividades de aseguramiento y reportes contenidas en el Plan Anual de auditorias ejecutadas </t>
  </si>
  <si>
    <t>Actividades de aseguramiento y reportes contenidas en el Plan Anual de auditorias programadas</t>
  </si>
  <si>
    <t>Plan Anual de auditorias ejecutado</t>
  </si>
  <si>
    <t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t>
  </si>
  <si>
    <t>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t>
  </si>
  <si>
    <t xml:space="preserve">Informes de auditoria y seguimientos (preliminar o final) realizados,
registro de presentación de información normativa -Veeduría Distrital, Contraloría, DAFP, entre otros,  registro de publicación en pagina web, cuadro consolidado de actividades ejecutadas por mes. 
</t>
  </si>
  <si>
    <t>Emitir decisiones interlocutorias</t>
  </si>
  <si>
    <t>P3O1A1  Consolidar la actualización de los procesos alineados con la nueva plataforma estratégica de la Secretaría General</t>
  </si>
  <si>
    <t>Decisiones interlocutorias emitidas</t>
  </si>
  <si>
    <t>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t>
  </si>
  <si>
    <t xml:space="preserve">  Sumatoria de autos o providencias interlocutorias emitidas en los procesos disciplinarios gestionados por la oficina de control interno disciplinario de la Secretaría General.       </t>
  </si>
  <si>
    <t xml:space="preserve">Sumatoria de autos o providencias interlocutorias emitidas en los procesos disciplinarios gestionados por la oficina de control interno disciplinario de la Secretaría General.  </t>
  </si>
  <si>
    <t>Actos Administrativos vinculantes o no de responsabilidad disciplinaria</t>
  </si>
  <si>
    <t>Acciones disciplinarias correspondientes</t>
  </si>
  <si>
    <t>El beneficio de este indicador es que los funcionarios que tengan a cargo el expediente del proceso disciplinario avancen en las etapas respectivas del proceso.</t>
  </si>
  <si>
    <t>Listado de autos proferidos en el periodo.</t>
  </si>
  <si>
    <t>Eficacia</t>
  </si>
  <si>
    <t>Emitir decisiones disciplinarias, tomadas en los procesos próximos a vencer por términos</t>
  </si>
  <si>
    <t>Expedientes gestionados dentro del término legal</t>
  </si>
  <si>
    <t>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t>
  </si>
  <si>
    <t># de expedientes con etapa procesal dentro de los términos legales/# de expedientes totales en curso, en las diferentes etapas del procesodisciplinario</t>
  </si>
  <si>
    <t># de expedientes con etapa procesal dentro de los términos legales</t>
  </si>
  <si>
    <t># de expedientes totales en curso, en las diferentes etapas del procesodisciplinario</t>
  </si>
  <si>
    <t>Procesos con decisiones emitidas en término</t>
  </si>
  <si>
    <t>Mantener el proceso dentro de los términos legales establecidos, lo cual redunda en garantía de derechos para el investigado.</t>
  </si>
  <si>
    <t>Listado de expedientes.</t>
  </si>
  <si>
    <t>eficiencia</t>
  </si>
  <si>
    <t>Superar el nivel de satisfacción de los servicios protocolarios prestados</t>
  </si>
  <si>
    <t>P1O2 Fortalecer la capacidad de formulación, implementación y seguimiento, de la política pública de competencia de la Secretaría General; así como las estrategias y mecanismos de evaluación.</t>
  </si>
  <si>
    <t>P1O2A4 Aplicar, implementar y ajustar el Índice de Desarrollo Institucional Distrital</t>
  </si>
  <si>
    <t>[ELIMINADO] Nivel de satisfacción de los servicios protocolarios prestados</t>
  </si>
  <si>
    <t>El indicador evalúa la satisfacción respecto a las actividades  relacionadas con los servicios protocolarios, surgidos en el marco de la gestión pública del Alcalde Mayor y las entidades referentes.</t>
  </si>
  <si>
    <t>0Promedio de evaluación de las encuestas de satisfacción de los servicios protocolarios prestados000</t>
  </si>
  <si>
    <t>Promedio de evaluación de las encuestas de satisfacción de los servicios protocolarios prestados</t>
  </si>
  <si>
    <t>Porcentaje máximo de satisfacción de los servicios protocolarios prestados</t>
  </si>
  <si>
    <t>Medición de la satisfacción de los servicios protocolarios prestados</t>
  </si>
  <si>
    <t>Identificar los potenciales riesgos que se puedan presentar y que afecten la satisfacción de los usuarios de los servicios protocolarios</t>
  </si>
  <si>
    <t>Resultados de las encuestas de satisfacción aplicadas</t>
  </si>
  <si>
    <t xml:space="preserve">Mantener disponibles y en operación los sistemas de información de la Secretaría General </t>
  </si>
  <si>
    <t>P4 -  INNOVACIÓN</t>
  </si>
  <si>
    <t>P4O2 Orientar la implementación de Gobierno Abierto en el Distrito Capital y ejecutar lo correspondiente en la Secretaría General</t>
  </si>
  <si>
    <t>P4O2A2 Optimizar los sistemas de información y los sitios web de la Secretaria General</t>
  </si>
  <si>
    <t xml:space="preserve">Porcentaje de disponibilidad y operación de los sistemas de información de la Secretaría General </t>
  </si>
  <si>
    <t>Mide  la disponibilidad de Sistemas de Información y Sitios web en producción de la entidad, para que los usuarios los puedan operar y/o consultar, mediante el monitoreo de Bases de datos, Sistemas de información y de la Infraestructura Tecnológica.</t>
  </si>
  <si>
    <t>[[Sumatoria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t>
  </si>
  <si>
    <t xml:space="preserve">Porcentaje máximo de disponibilidad y operación de los sistemas de información de la Secretaría General </t>
  </si>
  <si>
    <t>Mantener la disponibilidad de Sistemas de Información y paginas web por encima del 93%</t>
  </si>
  <si>
    <t>• Realizar Monitoreo a: 
- Base de Datos
- Sistemas de Información
- Infraestructura Tecnológica</t>
  </si>
  <si>
    <t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t>
  </si>
  <si>
    <t>Reporte Informe de Sistema Adplatec
Correos enviados desde el Aplicativo Nagios
Consulta de Aplicativo GLPI sobre categoria Sistemas de Información</t>
  </si>
  <si>
    <t>Solucionar los incidentes o solicitudes de servicios informáticos en el tiempo establecido como política.</t>
  </si>
  <si>
    <t>Incidentes o solicitudes de servicios informáticos solucionadas en el tiempo establecido como política.</t>
  </si>
  <si>
    <t>Mantener el porcentaje de 94% de incidentes o servicios informáticos solucionados  en el tiempo establecido como política o SLAs</t>
  </si>
  <si>
    <t>((Numero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t>
  </si>
  <si>
    <t xml:space="preserve">(Numero de incidentes o servicios informáticos que fueron solucionados en el tiempo establecido como política en el periodo ) </t>
  </si>
  <si>
    <t xml:space="preserve">(Numero total de incidentes o servicios informáticos diagnosticados -(Incidentes en espera+incidentes cuya categoría sea "NO son de nuestra competencia" o "No categorizadas" ) </t>
  </si>
  <si>
    <t>Servicios informáticos solucionados dentro del SLA establecido</t>
  </si>
  <si>
    <t>• Solucionar las solicitudes de carácter técnica registradas en la Herramienta GLPI</t>
  </si>
  <si>
    <t>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t>
  </si>
  <si>
    <t>Reporte y/o consulta del Aplicativo GLPI</t>
  </si>
  <si>
    <t>Ejecutar el Plan de asistencia técnica, para la implementación del ERP Distrital</t>
  </si>
  <si>
    <t>Felipe Guzmán Ramírez</t>
  </si>
  <si>
    <t>P4O3 Monitorear la implementación del ERP Distrital, en el marco del convenio de cooperación suscrito con la Secretaria de Hacienda Distrital</t>
  </si>
  <si>
    <t>P4O3A1 Acompañar con asistencia técnica, el proceso de implementación del ERP Distrital</t>
  </si>
  <si>
    <t>[ELIMINADO] Plan de asistencia técnica, para la implementación del ERP Distrital, ejecutado</t>
  </si>
  <si>
    <t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t>
  </si>
  <si>
    <t>(Act. del plan de acción del convenio ejecutadas / Act. del plan de acción del convenio programadas) *100</t>
  </si>
  <si>
    <t>Act. del plan de acción del convenio ejecutadas</t>
  </si>
  <si>
    <t>Act. del plan de acción del convenio programadas</t>
  </si>
  <si>
    <t>Asistencia técnica al proceso de implementación del ERP</t>
  </si>
  <si>
    <t>Virtualización de trámites:
Determinar las necesidades de las entidades frente a la ciudadanía, ofreciendo servicios más eficientes mediante la ampliación de trámites virtualizados, para el beneficio de los ciudadanos.</t>
  </si>
  <si>
    <t xml:space="preserve">Informes de gestión oficina Alta Consejería TIC. </t>
  </si>
  <si>
    <t>1.1.10 Conjunto de datos de las entidades distritales publicados en el portal de datos abiertos</t>
  </si>
  <si>
    <t>P4O2A1 Orientar la implementación de la Estrategia Gobierno en Línea en la Secretaría General</t>
  </si>
  <si>
    <t>[ELIMINADO] Datos publicados en el portal de datos abiertos</t>
  </si>
  <si>
    <t xml:space="preserve">Este indicador se encarga de la medición de la cantidad de datasets publicados en el portal de datos abiertos de Bogotá datosabiertos.bogota.gov.co, esta medición se realiza basados en las ordenanzas que estipula la Ley 1712 del 6 de marzo de 2014 </t>
  </si>
  <si>
    <t>Sumatoria de conjuntos de datos publicados por las entidades distritales en el portal de datos abiertos de Bogotá</t>
  </si>
  <si>
    <t>Datos publicados por las entidades distritales en el portal de datos abiertos</t>
  </si>
  <si>
    <t>Datos publicados en el portal de datos abiertos</t>
  </si>
  <si>
    <t>Diseñar y ejecutar la estrategia de gobierno y ciudadano digital
Monitorear y evaluar la estrategia de gobierno y ciudadano digital</t>
  </si>
  <si>
    <t>Datos Abiertos:
Generar emprendimiento, innovación, gobierno abierto y cumplimiento de la política de transparencia por parte de las entidades distritales.</t>
  </si>
  <si>
    <t>Datos Abiertos:
Marzo: Informe Conjunto de Datos Publicados</t>
  </si>
  <si>
    <t>01_CONPES 1.1.10</t>
  </si>
  <si>
    <t xml:space="preserve">1.1.21 Garantías e incentivos para la Participación Efectiva de las Víctimas del Conflicto Armado en Bogotá  </t>
  </si>
  <si>
    <t>Carlos Vladimir Rodríguez Valencia</t>
  </si>
  <si>
    <t>P1O2A1 Formular, implementar y realizar seguimiento a las políticas públicas de competencia de la Entidad</t>
  </si>
  <si>
    <t>Porcentaje de garantías cumplidas</t>
  </si>
  <si>
    <t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t>
  </si>
  <si>
    <t>(Número garantías cumplidas/Número garantías pactadas)*100</t>
  </si>
  <si>
    <t>Número garantías cumplidas</t>
  </si>
  <si>
    <t>Número garantías pactadas</t>
  </si>
  <si>
    <t>Garantías cumplidas</t>
  </si>
  <si>
    <t>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t>
  </si>
  <si>
    <t>Base de datos donde se consta el tiempo de asistencia, certificado de pago expedido por la ACDVPR firmado por el Alto Consejero y memorando a la Subdirección Financiera solicitando el pago de las víctimas de las mesas que cumplieron los requisitos en el mes correspondiente.</t>
  </si>
  <si>
    <t>01_CONPES 1.1.21.</t>
  </si>
  <si>
    <t xml:space="preserve">1.1.26 Sistema de información para consulta de avances en la ejecución del Plan de Acción Distrital para la Atención y la Reparación  Integral a las Víctimas que incorpore las variables que den cuenta del enfoque poblacional diferencial </t>
  </si>
  <si>
    <t>Porcentaje de avance en la mejora del Sistema de Información de seguimiento al Plan de Acción Distrital</t>
  </si>
  <si>
    <t>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t>
  </si>
  <si>
    <t>(Sumatoria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t>
  </si>
  <si>
    <t>Sumatoria de fases de mejoramiento del Sistema de Información del Plan de Acción Distrital para la Atención y la Reparación Integral a las Víctimas requerimientos de mejora del sistema de información implementadas</t>
  </si>
  <si>
    <t>Sumatoria de fases de mejoramiento del Sistema de Información del Plan de Acción Distrital para la Atención y la Reparación Integral a las Víctimas requerimientos de mejora del sistema de información programadas</t>
  </si>
  <si>
    <t>Avance en la mejora del Sistema de Información de seguimiento al Plan de Acción Distrital</t>
  </si>
  <si>
    <t>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t>
  </si>
  <si>
    <t>Evidencias y soportes que den cuenta del logro de los hitos trazados por año para la mejora del sistema.</t>
  </si>
  <si>
    <t>01_CONPES 1.1.26</t>
  </si>
  <si>
    <t>1.1.28 Uso de mecanismos de consulta para la acreditación de personas en el Registro Único de Víctimas</t>
  </si>
  <si>
    <t>Porcentaje de entidades del SDARIV con metas vigentes en el PAD con mecanismos de acreditación en el RUV implementados</t>
  </si>
  <si>
    <t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t>
  </si>
  <si>
    <t>(Entidades del SDARIV con metas vigentes en el PAD a las que se les actualiza la acreditación/Entidades del SDARIV con metas vigentes en el PAD que realizan solicitud de actualización de acreditación)*100</t>
  </si>
  <si>
    <t>Entidades del SDARIV con metas vigentes en el PAD a las que se les actualiza la acreditación</t>
  </si>
  <si>
    <t>Entidades del SDARIV con metas vigentes en el PAD que realizan solicitud de actualización de acreditación</t>
  </si>
  <si>
    <t>Entidades del SDARIV con metas vigentes en el PAD con mecanismos de acreditación en el RUV implementados</t>
  </si>
  <si>
    <t>Permite el acceso a información consolidada de los diferentes sistemas de las entidades del SNARIV y  los marcos normativos que conforman el RUV (SIPOD, SIV, SIRAV y LEY 1448 de 2011), con las restricciones de seguridad y confidencialidad de la información.</t>
  </si>
  <si>
    <t>Sistema de Información a Victimas - SIVIC- / Sistema de Información de Oferta -SIGO-</t>
  </si>
  <si>
    <t>01_CONPES 1.1.28</t>
  </si>
  <si>
    <t>1.2.4 Bienes, servicios y beneficios de las entidades distritales que hacen parte del Sistema de Atención y Reparación Integral a las Víctimas publicados en el Sistema de Información de Gestión de Oferta (SIGO)</t>
  </si>
  <si>
    <t>Porcentaje de entidades acompañadas con asistencia técnica para la publicación de información de bienes, servicios y beneficios  en el SIGO</t>
  </si>
  <si>
    <t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t>
  </si>
  <si>
    <t>(Entidades con información de bienes, servicios y beneficios publicados en el SIGO/Total de entidades pertenecientes al SDARIV)*100</t>
  </si>
  <si>
    <t>Entidades con información de bienes, servicios y beneficios publicados en el SIGO</t>
  </si>
  <si>
    <t>Total de entidades pertenecientes al SDARIV</t>
  </si>
  <si>
    <t>Entidades acompañadas con asistencia técnica para la publicación de información de bienes, servicios y beneficios  en el SIGO</t>
  </si>
  <si>
    <t>Este proceso representa para los ciudadanos acceso condensado a la oferta de servicios que ofrece el Distrito Capital. Y para las entidades distritales representa la articulación e interoperatividad institucional (sinergia de procesos).</t>
  </si>
  <si>
    <t>Sistema de Gestión de Oferta  - SIGO</t>
  </si>
  <si>
    <t>01_CONPES 1.2.4</t>
  </si>
  <si>
    <t xml:space="preserve">3.2.3 Criterios de valoración de situación de vulnerabilidad para el otorgamiento de medidas de ayuda humanitaria inmediata </t>
  </si>
  <si>
    <t>Porcentaje de personas evaluadas con los criterios implementados para el otorgamiento de ayuda humanitaria inmediata</t>
  </si>
  <si>
    <t>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t>
  </si>
  <si>
    <t>(Sumatoria de personas que son evaluadas con los criterios implementados para el otorgamiento de ayuda humanitaria inmediata/Total de personas que solicitan la ayuda humanitaria inmediata)*100</t>
  </si>
  <si>
    <t>Sumatoria de personas que son evaluadas con los criterios implementados para el otorgamiento de ayuda humanitaria inmediata</t>
  </si>
  <si>
    <t>Total de personas que solicitan la ayuda humanitaria inmediata</t>
  </si>
  <si>
    <t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t>
  </si>
  <si>
    <t>Sistema de información a víctimas - SIVIC</t>
  </si>
  <si>
    <t>01_CONPES 3.2.3.</t>
  </si>
  <si>
    <t xml:space="preserve">Implementar Plan de Comunicaciones de los servicios  y las acciones que desarrolla la Secretaria General </t>
  </si>
  <si>
    <t>Glenda Martínez Osorio</t>
  </si>
  <si>
    <t>P5 -  CAPITAL ESTRATÉGICO - COMUNICACIONES</t>
  </si>
  <si>
    <t>P5O2 Mejorar consistentemente la satisfacción de los servidores públicos y los ciudadanos frente a la información divulgada en materia de acciones, decisiones y resultados de la gestión del distrito capital.</t>
  </si>
  <si>
    <t>P5O2A6 Consolidar la imagen corporativa e institucional frente a la ciudadanía y frente a las demás entidades distritales.</t>
  </si>
  <si>
    <t xml:space="preserve">Plan de Comunicaciones de los servicios  y las acciones que desarrolla la Secretaria General implementado </t>
  </si>
  <si>
    <t>(Hitos del Plan de Comunicaciones ejecutados / Hitos del Plan de Comunicaciones programados)*100</t>
  </si>
  <si>
    <t>Hitos del Plan de Comunicaciones ejecutados</t>
  </si>
  <si>
    <t>Hitos del Plan de Comunicaciones programados</t>
  </si>
  <si>
    <t>Servicios  y acciones que desarrolla la Secretaria General comunicados</t>
  </si>
  <si>
    <t>Grantiza la ejecución ordenada de las necesidades de comunicación de las dependencias de la Secretaría General.</t>
  </si>
  <si>
    <t xml:space="preserve">Carpeta Compartida - Matriz </t>
  </si>
  <si>
    <t>Ejecutar Plan de trabajo de Consejo Distrital de Archivos</t>
  </si>
  <si>
    <t>Álvaro Arias Cruz</t>
  </si>
  <si>
    <t>P1O1A8 Modernizar y fortalecer los estándares para la gestión archivística a nivel distrital</t>
  </si>
  <si>
    <t>Plan de trabajo de Consejo Distrital de Archivos ejecutado</t>
  </si>
  <si>
    <t>(Hitos del Plan de trabajo ejecutados / Hitos del Plan de trabajo programados)*100</t>
  </si>
  <si>
    <t>Hitos del Plan de trabajo ejecutados</t>
  </si>
  <si>
    <t>Hitos del Plan de trabajo programados</t>
  </si>
  <si>
    <t>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t>
  </si>
  <si>
    <t>*Plan de Trabajo Consejo Distrital de Archivos
*Cronograma del plan de trabajo del CDA
*Informes aprobados por el Consejo Distrital de Archivos de Bogotá cargados en el link dispuesto por el AGN y acta de la sesión donde fue aprobado el informe.
*Actas de cada sesión, aprobadas por el Consejo Distrital de Archivos de Bogotá y suscritas por el presidente y Secretaria Técnica del Consejo.</t>
  </si>
  <si>
    <t xml:space="preserve">Aumentar el índice de satisfacción de los servidores formados </t>
  </si>
  <si>
    <t xml:space="preserve">Grado de Satisfacción de los servidores formados </t>
  </si>
  <si>
    <t xml:space="preserve">Establecer el grado de  satisfacción de los servidores formados </t>
  </si>
  <si>
    <t xml:space="preserve">  Promedio de evaluación de la encuesta de Satisfacción aplicada a los servidores formados </t>
  </si>
  <si>
    <t xml:space="preserve">Porcentaje máximo de satisfacción de los servidores formados </t>
  </si>
  <si>
    <t>Servidores satisfechos con la formación impartida</t>
  </si>
  <si>
    <t xml:space="preserve">Conocer la percepión de los servidores públicos formados  para realizar mejorar en los proceso de la estrategia del programa de formación </t>
  </si>
  <si>
    <t>Encuesta de satisfacción
Informe de análisis de la encuesta</t>
  </si>
  <si>
    <t xml:space="preserve">Aumentar el índice de satisfacción de las entidades distritales, frente a los servicios prestados </t>
  </si>
  <si>
    <t xml:space="preserve">Grado de Satisfacción de las entidades distritales frente a los servicios prestados </t>
  </si>
  <si>
    <t xml:space="preserve">Establecer el grado de  de satisfacción de  las entidades distritales frente a los servicios prestados </t>
  </si>
  <si>
    <t xml:space="preserve">  Promedio de evaluación de la encuesta de Satisfacción de los servicios prestados</t>
  </si>
  <si>
    <t xml:space="preserve">Porcentaje máximo de satisfacción de las entidades distritales frente a los servicios prestados </t>
  </si>
  <si>
    <t>Entidades satisfechos con los servicios prestados</t>
  </si>
  <si>
    <t>Conocer la percepión de las entidades públicas que han requeridos servicios para realizar la mejora de la oferta institucional</t>
  </si>
  <si>
    <t>Realizar acciones de relacionamiento estratégico con redes internacionales, ciudades homólogas, estados y organizaciones internacionales</t>
  </si>
  <si>
    <t xml:space="preserve">P1O4 Afianzar la efectividad de la cooperación internacional y posicionar a nivel internacional el Distrito Capital. </t>
  </si>
  <si>
    <t xml:space="preserve">P1O4A1 Diseñar, adoptar e implementar el modelo de cooperación internacional </t>
  </si>
  <si>
    <t>Acciones de relacionamiento estratégico con redes internacionales, ciudades homólogas, estados y organizaciones internacionales realizadas</t>
  </si>
  <si>
    <t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t>
  </si>
  <si>
    <t xml:space="preserve">  Sumatoria de acciones de relacionamiento estratégico desarrolladas     </t>
  </si>
  <si>
    <t>Sumatoria de acciones de relacionamiento estratégico desarrolladas</t>
  </si>
  <si>
    <t>Acciones de relacionamiento estratégico con actores internacionales.</t>
  </si>
  <si>
    <t xml:space="preserve">1. Análisis y evaluación de solicitudes de relacionamiento recibidas o identificadas
2. Formulación, gestión, desarrollo y seguimiento de la agenda de relacionamiento </t>
  </si>
  <si>
    <t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t>
  </si>
  <si>
    <t xml:space="preserve">Informe de Gestión de las diferentes acciones junto con las evidencias y documentos de gestión.
Micrositio, redes sociales, publicaciones en medios cuando aplique
</t>
  </si>
  <si>
    <t>Prestar asesorías o asistencias técnicas a los sectores y entidades distritales en materia de internacionalización</t>
  </si>
  <si>
    <t xml:space="preserve">P1O4A2 Diseñar e implementar acciones que promuevan la articulación interinstitucional e intersectorial en materia internacional  y la proyección de la Ciudad en el mundo. </t>
  </si>
  <si>
    <t>Asesorías o asistencias técnicas a los sectores y entidades distritales en materia de internacionalización prestadas</t>
  </si>
  <si>
    <t>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t>
  </si>
  <si>
    <t xml:space="preserve">  Sumatoria de acciones de Asesorías o Asistencias Técnicas gestionadas     </t>
  </si>
  <si>
    <t>Sumatoria de acciones de Asesorías o Asistencias Técnicas gestionadas</t>
  </si>
  <si>
    <t>Acciones de asistencia técnica específica para sectores y entidades distritales</t>
  </si>
  <si>
    <t>1. Análisis de la solicitud y formulación del concepto técnico.
2. Prestar asesoría y acompañamiento técnico en el desarrollo de la acción establecida</t>
  </si>
  <si>
    <t xml:space="preserve">Mejorar las capacidades técnicas y brindar acompañamiento y asesoría técnica a los sectores y entidades beneficiarias de cara al desarrollo de sus actividades en el marco de la cooperación y proyección internacional
</t>
  </si>
  <si>
    <t xml:space="preserve">Informe de Gestión de las diferentes acciones junto con las evidencias y documentos de gestión.
</t>
  </si>
  <si>
    <t>Alcanzar el 85% o más de satisfacción en los servicios prestados por la Dirección de Relaciones Internacionales</t>
  </si>
  <si>
    <t>Grado de Satisfacción de los servicios prestados por la Dirección de Relaciones Internacionales</t>
  </si>
  <si>
    <t xml:space="preserve">  Promedio del resultado de las encuestas de satisfacción de los servicios  prestados     </t>
  </si>
  <si>
    <t>Porcentaje máximo de satisfacción de los servicios prestados por la Dirección de Relaciones Internacionales</t>
  </si>
  <si>
    <t>Servicios prestados a satisfacción, por la Dirección de Relaciones Internacionales</t>
  </si>
  <si>
    <t>Tener un referente para tomar accionaes encaminadas a realizar mejoras en la prestación de servcios del proceso "Internacionalización de Bogotá"</t>
  </si>
  <si>
    <t>Reportes periódicos a la Oficina Asesora de Planeación con el análisis y resultado de la aplicación de las encuestas.
Encuentas aplicadas</t>
  </si>
  <si>
    <t>Efectividad</t>
  </si>
  <si>
    <t>Desarrollar el Plan de modernización de la imprenta distrital</t>
  </si>
  <si>
    <t>Subdirectora de Imprenta Distrital</t>
  </si>
  <si>
    <t>P2 -  SERVICIO AL CIUDADANO</t>
  </si>
  <si>
    <t xml:space="preserve">P2O1 Mejorar la experiencia de la ciudadanía, con enfoque diferencial y preferencial, en su relación con la Administración Distrital </t>
  </si>
  <si>
    <t>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t>
  </si>
  <si>
    <t>Plan de modernización de la imprenta distrital desarrollado</t>
  </si>
  <si>
    <t>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t>
  </si>
  <si>
    <t>(Actividades ejecutadas en el período / Actividades programadas en el período) *100</t>
  </si>
  <si>
    <t>Actividades ejecutadas en el período</t>
  </si>
  <si>
    <t>Actividades programadas en el período</t>
  </si>
  <si>
    <t>Modernización de la infraestructura, maquinaria, hardware y software para la prestación de los  en la Subdirección de Imprenta Distrital</t>
  </si>
  <si>
    <t>1. Adquirir y poner en funcionamiento 2 maquinas para la imprenta distrital
2. Modernizar la solución tecnológica para el proceso de registro distrital
3. Desarrollar las obras de reforzamiento estructural y adecuación de la imprenta distrital</t>
  </si>
  <si>
    <t xml:space="preserve">Modernizar la Imprenta Distrital para mejorar y ampliar los servicios que presta.
Mejorar la experiencia de la ciudadanía con enfoque diferencial y preferencial, en su relación con la administración distrital. </t>
  </si>
  <si>
    <t>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t>
  </si>
  <si>
    <t xml:space="preserve">Desarrollar foros, eventos o campañas de carácter internacional </t>
  </si>
  <si>
    <t>P1O4A3 Generar escenarios internacionales para la gestión del conocimiento, apropiando o difundiendo buenas practicas de gestión, que maximicen los resultados de la Administración Distrital.</t>
  </si>
  <si>
    <t>Foros, eventos o campañas de carácter internacional desarrollados</t>
  </si>
  <si>
    <t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t>
  </si>
  <si>
    <t xml:space="preserve">  Sumatoria de eventos y campañas realizadas     </t>
  </si>
  <si>
    <t>Sumatoria de eventos y campañas realizadas</t>
  </si>
  <si>
    <t>• 1. Definición y organización del componente internacional del foro,  evento o campaña.
2. Desarrollo del componente internacional del foro, evento o campaña</t>
  </si>
  <si>
    <t>Posicionar a Bogotá cómo referente internacional a través de sus Buenas Prácticas o experiencias exitosas, en las lineas estratégicas del PDD.</t>
  </si>
  <si>
    <t>Informe de Gestión de las diferentes acciones junto con las evidencias y documentos de gestión.</t>
  </si>
  <si>
    <t>Aumentar el índice de satisfacción ciudadana y de las entidades distritales, frente a los servicios prestados por el Archivo de Bogotá</t>
  </si>
  <si>
    <t>Grado de Satisfacción de las entidades distritales frente a los servicios prestados por la Dirección Distrital de Archivo</t>
  </si>
  <si>
    <t>Mejorar el índice de satisfacción de  las entidades distritales frente a los servicios prestados por el Archivo de Bogotá</t>
  </si>
  <si>
    <t xml:space="preserve">  Promedio de evaluación de la Encuesta de Satisfacción de los servicios prestados a las Entidades Distritales      </t>
  </si>
  <si>
    <t xml:space="preserve">Promedio de evaluación de la Encuesta de Satisfacción de los servicios prestados a las Entidades Distritales </t>
  </si>
  <si>
    <t>Porcentaje máximo de satisfacción de las entidades distritales frente a los servicios prestados por la Dirección Distrital de Archivo</t>
  </si>
  <si>
    <t>Medición del Grado de Satisfacción  a las entidades distritales frente a los servicios prestados por el Archivo de Bogotá</t>
  </si>
  <si>
    <t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t>
  </si>
  <si>
    <t>Identificar el grado de satisfacción de las entidades frente a los servicios prestados por la Dirección Distrital de Archivo, con el fin de reunir informacion que permita una adecuada toma de desiciones para un excelente servicio a las entidades</t>
  </si>
  <si>
    <t xml:space="preserve">Informe de la aplicación de la encuesta de satisfacción, y sistematización de las encuestas aplicadas.
</t>
  </si>
  <si>
    <t>Grado de Satisfacción de la ciudadanía frente a los servicios prestados por el Archivo Distrital</t>
  </si>
  <si>
    <t>Mejorar el índice de satisfacción de la ciudadanía frente a los servicios prestados por el Archivo de Bogotá</t>
  </si>
  <si>
    <t xml:space="preserve">  Promedio de evaluación de la Encuesta de Satisfacción de los servicios prestados a la ciudadanía     </t>
  </si>
  <si>
    <t>Promedio de evaluación de la Encuesta de Satisfacción de los servicios prestados a la ciudadanía</t>
  </si>
  <si>
    <t>Porcentaje máximo de satisfacción de la ciudadanía frente a los servicios prestados por el Archivo Distrital</t>
  </si>
  <si>
    <t>Medición del Grado de Satisfacción a la ciudadanía  frente a los servicios prestados por el Archivo de Bogotá</t>
  </si>
  <si>
    <t>•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t>
  </si>
  <si>
    <t>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t>
  </si>
  <si>
    <t>Informe mensual de medición de grado de satisfacción ciudadana</t>
  </si>
  <si>
    <t>Generación de información de calidad para la prevención de prácticas corruptas en la ciudad.</t>
  </si>
  <si>
    <t>P1O1A10  Implementar políticas, lineamientos y estrategias en sistemas de Gestión y Control en articulación con el Modelo Integrado de Planeación y Gestión (MIPG), en las entidades Distritales.</t>
  </si>
  <si>
    <t>[ELIMINADO] Porcentaje de avance en la implementación del Banco de buenas prácticas en materia de transparencia en las entidades distritales</t>
  </si>
  <si>
    <t>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t>
  </si>
  <si>
    <t>(Sumatoria de fases ejecutadas en la implementación del Banco  de buenas prácticas en materia de transparencia en las entidades distritales / Sumatoria de fases programadas en la implementación del Banco  de buenas prácticas en materia de transparencia en las entidades distritales)*100</t>
  </si>
  <si>
    <t>Sumatoria de fases ejecutadas en la implementación del Banco  de buenas prácticas en materia de transparencia en las entidades distritales</t>
  </si>
  <si>
    <t xml:space="preserve"> Sumatoria de fases programadas en la implementación del Banco  de buenas prácticas en materia de transparencia en las entidades distritales)*100</t>
  </si>
  <si>
    <t>Fases ejecutadas en la implementación del Banco  de buenas prácticas en materia de transparencia en las entidades distritales</t>
  </si>
  <si>
    <t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t>
  </si>
  <si>
    <t>Informes de resultado realizados por la Dirección Distrital de Desarrollo Institucional de la Secretaría General</t>
  </si>
  <si>
    <t>01_CONPES 4.1.1.</t>
  </si>
  <si>
    <t>Elaborar documentos técnicos para la implementación del Modelo Integrado de Planeación y Gestión - MIPG en las entidades distritales</t>
  </si>
  <si>
    <t>[ELIMINADO] Documentos técnicos para la implementación del Modelo Integrado de Planeación y Gestión - MIPG en las entidades distritales.</t>
  </si>
  <si>
    <t>Verificar el cumplimiento en la elaboración de los Documentos Técnicos establecidos para la vigencia</t>
  </si>
  <si>
    <t xml:space="preserve">Número de documentos técnicos para la implementación del MIPG en las entidades distritales.          </t>
  </si>
  <si>
    <t>Número de documentos técnicos para la implementación del MIPG en las entidades distritales.</t>
  </si>
  <si>
    <t>Documentos técnico - banco de buenas practicas en materia de integridad
Documentos técnico Simplificación de procesos</t>
  </si>
  <si>
    <t xml:space="preserve">Orientar a través de Documentos Técnicos a las entidades distritales frente a la simplificación de procesos y Buenas Prácticas en Integridad. </t>
  </si>
  <si>
    <t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t>
  </si>
  <si>
    <t>EX_CONPES 01</t>
  </si>
  <si>
    <t xml:space="preserve">Generar informes técnicos de coordinación de la Subsecretaria Técnica. </t>
  </si>
  <si>
    <t>P1O2A2 Realizar seguimiento a los resultados de los programas pertenecientes al Eje cuatro (4) "Gobierno Legítimo, Fortalecimiento Local y Eficiencia"</t>
  </si>
  <si>
    <t>Informes técnicos de coordinación de la Subsecretaria Técnica, generados.</t>
  </si>
  <si>
    <t xml:space="preserve">La Subsecretaría Técnica realiza informes trimestrales técnicos de orientación y coordinación con el fin de fortalecer y cumplir los objetivos misionales de la dependencia. </t>
  </si>
  <si>
    <t xml:space="preserve">  Informes trimestrales con la orientación y coordinación técnica de la Subsecretaría Técnica     </t>
  </si>
  <si>
    <t>Informes trimestrales con la orientación y coordinación técnica de la Subsecretaría Técnica</t>
  </si>
  <si>
    <t>Informes de lineamientos y orientación (actas, informes, documentos insumo Su técnica, agenda y orden del día)</t>
  </si>
  <si>
    <t>* Desarrollo de cronograma.
* Asistencia a instancias.
* Monitoreo de aspectos relevantes.
* Desarrollo de informes, actas o registros.</t>
  </si>
  <si>
    <t>Consolidar en un documento técnico la gestión y lineamientos técnicos hacia las dependencias de la Subsecretaria Técnica y otras instancias en los diferentes escenarios que por obligación propia del cargo o por delegación del Secretario General, participa la Subsecretaria.</t>
  </si>
  <si>
    <t>Capeta Institucional Subsecretaria Técnica / Informe Gestión. En esta carpeta se tiene información consolidada así:
Actas.
Reporte presupuestal.
Listados de Asistencia.
Presentaciones.
Memorandos.
Informe Técnico.</t>
  </si>
  <si>
    <t>Cumplimiento del Plan de trabajo de la política pública de Servicio a la Ciudadanía, bajo los lineamientos del ciclo de política pública.</t>
  </si>
  <si>
    <t>Subsecretaria de Servicio a la Ciudadanía</t>
  </si>
  <si>
    <t>Política pública de Servicio a la Ciudadanía, con seguimiento al cumplimiento del Plan de trabajo programado, bajo los lineamientos del ciclo de política pública.</t>
  </si>
  <si>
    <t>(Hitos del plan de trabajo de la política pública cumplidos / Hitos del plan de trabajo de la política pública programados) *100</t>
  </si>
  <si>
    <t>Hitos del plan de trabajo de la política pública cumplidos</t>
  </si>
  <si>
    <t>Hitos del plan de trabajo de la política pública programados</t>
  </si>
  <si>
    <t>Política pública de Servicio a la Ciudadanía gestionada</t>
  </si>
  <si>
    <t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t>
  </si>
  <si>
    <t xml:space="preserve">Informe que contiene los resultados de la evaluación de implementación de la Política Pública de Servicio a la Ciudadanía </t>
  </si>
  <si>
    <t>Eficacia </t>
  </si>
  <si>
    <t xml:space="preserve">1.2.1 Optimización de la plataforma de guía de Trámites y Servicios del Distrito Capital  </t>
  </si>
  <si>
    <t xml:space="preserve">P2O2 Simplificar, racionalizar y virtualizar trámites y servicios para contribuir al mejoramiento del clima de negocios y facilitar el ejercicio de los derechos y el cumplimiento de deberes de la ciudadanía </t>
  </si>
  <si>
    <t>P2O2A1 Actualizar la guía de trámites y servicios</t>
  </si>
  <si>
    <t>[ELIMINADO] Porcentaje de avance en optimización de la Guía de Trámites y Servicios del Distrito</t>
  </si>
  <si>
    <t>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t>
  </si>
  <si>
    <t>(Sumatoria de fases ejecutadas para la optimización de la Guía de Trámites y Servicios del Distrito / Sumatoria de fases programadas para la optimización de la Guía de Trámites y Servicios del Distrito)*100</t>
  </si>
  <si>
    <t>Sumatoria de fases ejecutadas para la optimización de la Guía de Trámites y Servicios del Distrito</t>
  </si>
  <si>
    <t>Sumatoria de fases programadas para la optimización de la Guía de Trámites y Servicios del Distrito)</t>
  </si>
  <si>
    <t>Avance en optimización de la Guía de Trámites y Servicios del Distrito</t>
  </si>
  <si>
    <t xml:space="preserve">Gestionar el proceso de optimización Guía de Trámites y Servicios con información estructurada completamente operativa para facilitar su consulta por parte de la ciudadanía </t>
  </si>
  <si>
    <t>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t>
  </si>
  <si>
    <t>01_CONPES 1.2.1.</t>
  </si>
  <si>
    <t>Evaluar respuestas a requerimientos ciudadanos  en términos de calidad y calidez.</t>
  </si>
  <si>
    <t>Respuestas a requerimientos ciudadanos, evaluadas en términos de calidad y calidez.</t>
  </si>
  <si>
    <t xml:space="preserve">Mide el No de respuestas a requerimientos ciudadanos  evaluadas en términos de calidad y calidez.  </t>
  </si>
  <si>
    <t xml:space="preserve">  Sumatoria de respuestas evaluadas     </t>
  </si>
  <si>
    <t>Sumatoria de respuestas evaluadas</t>
  </si>
  <si>
    <t>Respuestas a requerimientos ciudadanos  evaluadas en términos de calidad y calidez  y reporte del porcentaje de cumplimiento de los criterios.</t>
  </si>
  <si>
    <t>• Evaluar respuestas a requerimientos ciudadanos  en términos de calidad y calidez.</t>
  </si>
  <si>
    <t>Identificar los aspectos a mejorar en la gestión de peticiones ciudadanas de la Secretaría General y entidades distritales en cuanto a los criterios de coherencia, claridad, calidez y oportunidad, y al uso y manejo del Sistema.</t>
  </si>
  <si>
    <t>Base de datos de las peticiones evaluadas en términos de calidad y calidez (mes vencido)</t>
  </si>
  <si>
    <t xml:space="preserve"> Realizar monitoreos para la medición, evaluación y seguimiento  del servicio en la Red CADE, en los diferentes canales de interacción ciudadana de la Secretaría General y en otros puntos de la Administración Distrital </t>
  </si>
  <si>
    <t>Monitoreos realizados para  evaluar la prestación del servicio en la Red CADE, en los diferentes canales de interacción ciudadana de la Secretaría General y en otros puntos de la Administración Distrital</t>
  </si>
  <si>
    <t>Mide el No de monitoreos realizados para evaluar la prestación del servicio en la Red CADE, en los diferentes canales de interacción ciudadana de la Secretaría General y en otros puntos de la Administración Distrital</t>
  </si>
  <si>
    <t xml:space="preserve">  Sumatoria de monitoreos realizados     </t>
  </si>
  <si>
    <t>Monitoreos realizados</t>
  </si>
  <si>
    <t xml:space="preserve">Monitoreos de medición, evaluación y seguimiento  del servicio en la Red CADE, en los diferentes canales de interacción ciudadana de la Secretaría General y en otros puntos de la Administración Distrital.    </t>
  </si>
  <si>
    <t xml:space="preserve">• Realizar monitoreo para la medición, evaluación y seguimiento  del servicio en la Red CADE, en los diferentes canales de interacción ciudadana de la Secretaria General y en otros puntos de la Administración Distrital.
</t>
  </si>
  <si>
    <t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t>
  </si>
  <si>
    <t xml:space="preserve">Informes de monitoreo a los puntos de atención monitoreados en el mes anterior. </t>
  </si>
  <si>
    <t>Cualificar servidores(as) en conocimientos, habilidades y actitudes en el servicio a la ciudadanía</t>
  </si>
  <si>
    <t>P2O1A2 Cualificar y capacitar los servidores públicos</t>
  </si>
  <si>
    <t>Servidores  fortalecidos en sus conocimientos, habilidades y actitudes en el servicio a la ciudadanía</t>
  </si>
  <si>
    <t>Mide el No de servidores(as)  fortalecidos en sus conocimientos, habilidades y actitudes en el servicio a la ciudadanía.</t>
  </si>
  <si>
    <t xml:space="preserve">  Sumatoria de servidores (as) públicos cualificados en conocimientos, habilidades y actitudes en el servicio a la ciudadanía</t>
  </si>
  <si>
    <t>Servidores (as) públicos cualificados en conocimientos, habilidades y actitudes en el servicio a la ciudadanía</t>
  </si>
  <si>
    <t xml:space="preserve">Servidores(as) cualificados en conocimientos, habilidades y actitudes en el servicio a la ciudadanía.                                                        </t>
  </si>
  <si>
    <t xml:space="preserve">• Realizar cualificación de servidores  </t>
  </si>
  <si>
    <t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t>
  </si>
  <si>
    <t>Registros de Asistencia  (Formato 2211300-FT-211 PDF)
Cuadro resumen de cualificaciones</t>
  </si>
  <si>
    <t xml:space="preserve">Realizar con administradores y/o usuarios del Sistema Distrital para la Gestión de Peticiones Ciudadanas. capacitaciones en la funcionalidad, configuración, manejo y uso general del sistema </t>
  </si>
  <si>
    <t>P2O1A1 Desarrollar y actualizar contenidos temáticos de la cualificación</t>
  </si>
  <si>
    <t xml:space="preserve">Capacitaciones en la funcionalidad, configuración, manejo y uso general de la herramienta Bogotá te Escucha-Sistema Distrital para la Gestión de Peticiones Ciudadanas, realizadas a sus administradores y/o usuarios </t>
  </si>
  <si>
    <t xml:space="preserve">Mide el No de capacitaciones en  la funcionalidad, configuración, manejo y uso general de la herramienta Bogotá te Escucha-Sistema Distrital para la Gestión de Peticiones Ciudadanas, realizadas a sus administradores y/o usuarios 
</t>
  </si>
  <si>
    <t xml:space="preserve">  Sumatoria de capacitaciones en la configuración, uso y manejo del Sistema Distrital para la Gestión de Peticiones Ciudadanas.  </t>
  </si>
  <si>
    <t>Capacitaciones en la configuración, uso y manejo del Sistema Distrital para la Gestión de Peticiones Ciudadanas.</t>
  </si>
  <si>
    <t>Capacitaciones funcionales en la configuración, uso y manejo del Sistema Distrital para la Gestión de Peticiones Ciudadanas.</t>
  </si>
  <si>
    <t>• Capacitar a los administradores del Sistema Distrital para la Gestión de Peticiones Ciudadanas, de las entidades distritales, en funcionalidad, configuración, uso y manejo del sistema.</t>
  </si>
  <si>
    <t xml:space="preserve">La capacitación funcional fortalece las competencias de los servidores para operar y administrar el Sistema Distrital para la gestión de peticiones ciudadanas.     </t>
  </si>
  <si>
    <t>Registros de Asistencia  (Formato 2211300-FT-211 PDF)</t>
  </si>
  <si>
    <t>ND</t>
  </si>
  <si>
    <t>Realizar el seguimiento a la calidad y calidez de las respuestas emitidas por parte de la Secretaría General y entidades distritales a través del sistema de gestión de peticiones ciudadanas</t>
  </si>
  <si>
    <t xml:space="preserve">Dependencias de la Secretaría General y entidades distritales retroalimentadas/ Dependencias de la Secretaría General y entidades distritales que presentan observaciones a sus respuestas evaluadas”. </t>
  </si>
  <si>
    <t>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t>
  </si>
  <si>
    <t>(Número de dependencias de la Secretaría General y entidades distritales retroalimentadas/ Número de dependencias de la Secretaría General y entidades Distritales que presentan observaciones a sus respuestas evaluadas)*100</t>
  </si>
  <si>
    <t>Número de dependencias de la Secretaría General y entidades distritales retroalimentadas</t>
  </si>
  <si>
    <t>Número de dependencias de la Secretaría General y entidades Distritales que presentan observaciones a sus respuestas evaluadas</t>
  </si>
  <si>
    <t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t>
  </si>
  <si>
    <t xml:space="preserve">Identificar aspectos a mejorar en las dependencias de la Secretaría General y entidades distritales, retroalimentandolas en su gestión de peticiones ciudadanas en cuanto a los criterios de coherencia, claridad, calidez y oportunidad, y al uso y manejo del Sistema </t>
  </si>
  <si>
    <t>Comunicaciones enviadas a las dependencias de la Secretaría General que presenten alguna observación a sus respuestas evaluadas y a las entidades distritales que presenten  observaciones al 10% o más de sus respuestas evaluadas ( mes vencido)</t>
  </si>
  <si>
    <t>Realizar seguimiento a los requerimientos vencidos según los términos de ley en la Secretaría General y en las entidades distritales, registrados en el Sistema Distrital de Quejas y Soluciones.</t>
  </si>
  <si>
    <t xml:space="preserve">Comunicaciones de seguimiento a peticiones vencidas en la  Secretaría  General y entidades distritales.
</t>
  </si>
  <si>
    <t xml:space="preserve">(Comunicaciones de seguimientos enviados / Dependencias de la SG identificadas con peticiones vencidas en el mes anterior y entidades distritales identificadas con 3 o más peticiones vencidas en el mes anterior) *100
</t>
  </si>
  <si>
    <t>Comunicaciones de seguimientos enviados</t>
  </si>
  <si>
    <t>Dependencias de la SG identificadas con peticiones vencidas en el mes anterior y entidades distritales identificadas con 3 o más peticiones vencidas en el mes anterior</t>
  </si>
  <si>
    <t>Comunicaciones del seguimiento a peticiones vencidas (reporte mes vencido)</t>
  </si>
  <si>
    <t>Realizar seguimiento a los requerimientos vencidos en términos de Ley,  promoviendo a nivel Distrital la adecuada atención  de peticiones ciudadanas dentro de los tiempos establecidos por la ley.</t>
  </si>
  <si>
    <t xml:space="preserve">Comunicaciones enviadas para realizar seguimiento a peticiones vencidas (reporte mes vencido)     </t>
  </si>
  <si>
    <t xml:space="preserve">Actualizar la herramienta tecnológica del SUDIVC </t>
  </si>
  <si>
    <t>P1O2A5 Implementar sistema de gestión de Inspección, Vigilancia y Control</t>
  </si>
  <si>
    <t>Herramienta tecnológica del SUDIVC actualizada</t>
  </si>
  <si>
    <t>Se pretende fortalecer y optimizar los procesos e instrumentos de IVC en el Distrito Capital mediante la actualización de la plataforma tecnológica del SUDIVC. Se espera medir el avance en la adecuación de la herramienta, acorde con los requerimientos de la dependencia.</t>
  </si>
  <si>
    <t># actividades para la actualizacion de la plataforma ejecutadas / actividades  para la actualizacion de la plataforma programadas</t>
  </si>
  <si>
    <t>Número de fases ejecutadas</t>
  </si>
  <si>
    <t>Total de fases programadas</t>
  </si>
  <si>
    <t>Plataforma tecnológica actualizada del SUDIVC</t>
  </si>
  <si>
    <t>Suscribir acuerdos de servicio con las entidades distritales de IVC.
Gestionar elaboración de la matriz de riesgo del SUDIVC.
Realizar pruebas tecnológicas y funcionales de la plataforma IVC.
Realizar y evaluar piloto y ejecutar replica en el DC.</t>
  </si>
  <si>
    <t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t>
  </si>
  <si>
    <t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t>
  </si>
  <si>
    <t>Realizar visitas multidisciplinarias de Alto Riesgo</t>
  </si>
  <si>
    <t>Visitas multidisciplinarias de Alto Riesgo realizadas</t>
  </si>
  <si>
    <t>Sumatoria de visitas multidisciplinarias de Alto Riesgo realizadas</t>
  </si>
  <si>
    <t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t>
  </si>
  <si>
    <t xml:space="preserve">Informe de resultados.
</t>
  </si>
  <si>
    <t>Monitorear y generar alertas tempranas frente al 100% de la ejecución Plan Anual de Adquisiciones - PAA y del presupuesto asignado para la vigencia</t>
  </si>
  <si>
    <t>María Clemencia Pérez Uribe</t>
  </si>
  <si>
    <t>P3O2A1 Desarrollar e implementar una estrategia metodológica para programación,  priorización y seguimiento presupuestal</t>
  </si>
  <si>
    <t>Plan Anual de Adquisiciones - PAA y presupuesto asignado para la vigencia, monitoreado</t>
  </si>
  <si>
    <t>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t>
  </si>
  <si>
    <t>(Seguimiento Ejecutado en el Periodo / Seguimiento Programado en el Periodo) *100</t>
  </si>
  <si>
    <t>Seguimiento Ejecutado en el Periodo</t>
  </si>
  <si>
    <t>Seguimiento Programado en el Periodo</t>
  </si>
  <si>
    <t>Presentación de ejecución presupuestal, reserva y pasivos exigibles.</t>
  </si>
  <si>
    <t>• Revisar, analizar y presentar la ejecución presupuestal de la Secretaría General.</t>
  </si>
  <si>
    <t>Facilita la toma de decisiones oportunas con base en el estado de la ejecución del Plan Anual de Adquisiciones, con el fin de optimizar la ejecución presupuestal de la vigencia.</t>
  </si>
  <si>
    <t>Presentacion Ejecución Presupuestal
Matriz Seguimiento PAA</t>
  </si>
  <si>
    <t xml:space="preserve">Ejecutar el Plan de Trabajo del Sistema de Seguridad y Salud en el Trabajo </t>
  </si>
  <si>
    <t xml:space="preserve">P5O1 Avanzar en la mejora de la percepción de los servidores, respecto a la Secretaría General como un gran lugar para trabajar. </t>
  </si>
  <si>
    <t>P5O1A5 Promover el respeto a la declaración de principios y derechos fundamentales en el trabajo de la OIT y el  trabajo decente en la Secretaría General</t>
  </si>
  <si>
    <t>Plan de Trabajo del Sistema de Seguridad y Salud en el Trabajo ejecutado</t>
  </si>
  <si>
    <t>Porcentaje de cumplimiento del Plan de Trabajo Anual del Sistema de Gestión de Seguridad y Salud en el Trabajo de la Secretaría General de la Alcaldía Mayor de Bogotá, D.C.</t>
  </si>
  <si>
    <t>(Actividades ejecutadas del Plan de Trabajo del Sistema de Gestión de Seguridad y Salud en el Trabajo / Actividades programadas del Plan de Trabajo del Sistema de Gestión de Seguridad y Salud en el Trabajo) *100</t>
  </si>
  <si>
    <t>Actividades ejecutadas del Plan de Trabajo del Sistema de Gestión de Seguridad y Salud en el Trabajo</t>
  </si>
  <si>
    <t>Actividades programadas del Plan de Trabajo del Sistema de Gestión de Seguridad y Salud en el Trabajo</t>
  </si>
  <si>
    <t>Plan de seguridad y salud en el trabajo ejecutado</t>
  </si>
  <si>
    <t>• jornadas de promoción, prevención e intervención de riesgos en materia de seguridad y salud en el trabajo</t>
  </si>
  <si>
    <t>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t>
  </si>
  <si>
    <t>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t>
  </si>
  <si>
    <t>Ejecutar el Plan Estratégico de la Dirección de Talento Humano</t>
  </si>
  <si>
    <t xml:space="preserve">P5O1A4 Mejorar el clima laboral, para garantizar que la Secretaría General cuenta con el entorno y ambiente adecuado para conseguir los objetivos trazados. </t>
  </si>
  <si>
    <t>Plan Estratégico de la Dirección de Talento Humano ejecutado</t>
  </si>
  <si>
    <t>(Actividades ejecutadas del Plan de Estratégico de la Dirección de Talento Humano / Actividades programadas del Plan Estratégico de la Dirección de Talento Humano) *100</t>
  </si>
  <si>
    <t>Actividades ejecutadas del Plan de Estratégico de la Dirección de Talento Humano</t>
  </si>
  <si>
    <t>Actividades programadas del Plan Estratégico de la Dirección de Talento Humano</t>
  </si>
  <si>
    <t>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t>
  </si>
  <si>
    <t>Listados de Asistencia
Registro fotografico
Informes trimestrales y el reporte de la información de los asistentes a las diferentes actividades.</t>
  </si>
  <si>
    <t>Implementar el Plan de Seguridad Vial</t>
  </si>
  <si>
    <t>P5O1A1 Diseñar una estrategia de transformación cultural y liderazgo dirigida a los servidores de la Secretaría General</t>
  </si>
  <si>
    <t>Plan de Seguridad Vial implementado</t>
  </si>
  <si>
    <t>Este indicador mide la ejecución de los programas para el cumplimiento del plan de acción aprobado por el Comité de Seguridad Vial de la Secretaría General en concordancia a lo establecido por la Secretaría de Movilidad.</t>
  </si>
  <si>
    <t>(Actividades del Plan de Seguridad Vial ejecutadas / Actividades del Plan de Seguridad Vial programadas)*100</t>
  </si>
  <si>
    <t xml:space="preserve">Actividades del Plan de Seguridad Vial ejecutadas </t>
  </si>
  <si>
    <t>Actividades del Plan de Seguridad Vial programadas</t>
  </si>
  <si>
    <t>Planear, ejecutar y hacer seguimiento al Plan de acción establecido para la Secretaría General.</t>
  </si>
  <si>
    <t>Reducción de accidentalidad en todos los actores de la via, creación de cultura vial y concientización a los usuarios.</t>
  </si>
  <si>
    <t xml:space="preserve">Cronograma de plan de acción de la Vigencia, registros fílmicos,  fotográficos y evidencias de reunión y actividades realizadas. </t>
  </si>
  <si>
    <t>Implementar el Plan Integral de Gestión Ambiental - PIGA</t>
  </si>
  <si>
    <t>Plan Institucional de Gestión Ambiental - PIGA implementado</t>
  </si>
  <si>
    <t>Este indicador mide la ejecución de los programas para el cumplimiento del plan de acción aprobado por el Comité de Gestión Ambiental de la Secretaría General en concordancia a lo establecido por la Secretaría de Ambiente.</t>
  </si>
  <si>
    <t>(Porcentaje de actividades del PIGA de la vigencia, ejecutadas / Porcentaje de actividades del PIGA de la vigencia, programadas) *100</t>
  </si>
  <si>
    <t>Porcentaje de actividades del PIGA de la vigencia, ejecutadas</t>
  </si>
  <si>
    <t>Porcentaje de actividades del PIGA de la vigencia, programadas</t>
  </si>
  <si>
    <t>PIGA</t>
  </si>
  <si>
    <t>• Planear, ejecutar y hacer seguimiento al Plan de acción establecido para la Secretaría General</t>
  </si>
  <si>
    <t>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t>
  </si>
  <si>
    <t xml:space="preserve">Cronograma de plan de acción del PIGA de la Vigencia, registros fílmicos,  fotográficos y evidencias de reunión y actividades realizadas. </t>
  </si>
  <si>
    <t>8.1. Oportunidad</t>
  </si>
  <si>
    <t>Organizar los archivos de gestión de la entidad</t>
  </si>
  <si>
    <t>Marcela Manrrique Castro</t>
  </si>
  <si>
    <t>Archivos de gestión de la entidad organizados</t>
  </si>
  <si>
    <t xml:space="preserve">Fortalecer  y  normalizar los archivos de gestión de la entidad.   Es necesario sensibilizar a los servidores con relación a la organización de documentos para ponerlos al servicio de las diferentes dependencias de la Secretaria General.  </t>
  </si>
  <si>
    <t>(Asistencias técnicas a las dependencias para la organización de archivos de gestión efectuadas / Asistencias técnicas a las dependencias para la organización de archivos de gestión programadas ) *100</t>
  </si>
  <si>
    <t xml:space="preserve">Asistencias técnicas a las dependencias para la organización de archivos de gestión efectuadas </t>
  </si>
  <si>
    <t xml:space="preserve">Asistencias técnicas a las dependencias para la organización de archivos de gestión programadas </t>
  </si>
  <si>
    <t>Archivos organizados</t>
  </si>
  <si>
    <t>• Capacitar a los servidores responsables de los archivos de gestión en la diferentes dependencias de la Secretaria General.</t>
  </si>
  <si>
    <t xml:space="preserve">Disponer oportunamente con los documentos en caso de cualquier consulta o requerimiento por parte de los ciudadanos, dado que los  archivos de las dependencias de la Secretaria General se encuentran organizados y normalizados. </t>
  </si>
  <si>
    <t>* Programación de asistencias técnicas
* Formatos de asistencia o actas de evidencia de reunión.</t>
  </si>
  <si>
    <t>Tramitar oportunamente las solicitudes de recursos físicos</t>
  </si>
  <si>
    <t>Solicitudes de recursos físicos tramitadas oportunamente</t>
  </si>
  <si>
    <t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t>
  </si>
  <si>
    <t>(Número de  solicitudes tramitadas oportunamente / Número total de solicitudes recibidas) *100</t>
  </si>
  <si>
    <t>Número de  solicitudes tramitadas oportunamente</t>
  </si>
  <si>
    <t>Número total de solicitudes recibidas</t>
  </si>
  <si>
    <t xml:space="preserve">Tramites de la gestión de recursos físicos realizados </t>
  </si>
  <si>
    <t xml:space="preserve">• Gestionar los tramites de recursos físicos </t>
  </si>
  <si>
    <t>Se requiere cumplir con los tiempos normativos establecidos para la atención a los trámites de recursos físicos, para que los funcionarios puedan contar con elementos en buen estado y de manera oportuna que permitan la prestacion de sus servicios.</t>
  </si>
  <si>
    <t>*Informe de acuerdo con la informacion descargada del Sistema de correspondencia interna del SAI</t>
  </si>
  <si>
    <t>Prestar a satisfacción los servicios de entrega de elementos de consumo</t>
  </si>
  <si>
    <t>Servicios de entrega de elementos de consumo prestados a satisfacción</t>
  </si>
  <si>
    <t>Medir el nivel de satisfacción del usuario frente a la entrega oportuna de los elementos de consumo.  Con este indicador se pretende: medir los tiempos de entrega, calidad del servicio por parte de los servidores del proceso de Recursos Físicos</t>
  </si>
  <si>
    <t xml:space="preserve">  Promedio de evaluación de las encuestas de satisfacción de los elementos de consumo entregados     </t>
  </si>
  <si>
    <t>Promedio de evaluación de las encuestas de satisfacción de los elementos de consumo entregados</t>
  </si>
  <si>
    <t>Porcentaje máximo de evaluación de las encuestas de satisfacción de los elementos de consumo entregados</t>
  </si>
  <si>
    <t xml:space="preserve">Elementos de consumo entregados satisfactoriamente </t>
  </si>
  <si>
    <t xml:space="preserve">• Entregar elementos de consumo satisfactoriamente </t>
  </si>
  <si>
    <t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t>
  </si>
  <si>
    <t>* Encuestas de satisfacción aplicadas.
* Tabulación de encuestas de satisfacción</t>
  </si>
  <si>
    <t>Prestar a satisfacción los servicios Administrativos y Generales</t>
  </si>
  <si>
    <t>Servicios Administrativos y Generales prestados a satisfacción</t>
  </si>
  <si>
    <t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t>
  </si>
  <si>
    <t>(Evaluaciones calificadas como buenas en la prestación de los Servicios Administrativos / Solicitudes tramitadas y prestadas efectivamente) * 100</t>
  </si>
  <si>
    <t>Evaluaciones calificadas como buenas en la prestación de los Servicios Administrativos</t>
  </si>
  <si>
    <t>Solicitudes tramitadas y prestadas efectivamente</t>
  </si>
  <si>
    <t xml:space="preserve">Servicios Administrativos y Generales prestados satisfactoriamente </t>
  </si>
  <si>
    <t xml:space="preserve">• Realizar actividades necesarias para la prestación de los servicios administrativos y generales a satisfacción </t>
  </si>
  <si>
    <t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t>
  </si>
  <si>
    <t>* Informe con las Estadisticas del Sistema de Servicios Administrativos</t>
  </si>
  <si>
    <t xml:space="preserve">Realizar jornadas de capacitación en programación y ejecución de recursos </t>
  </si>
  <si>
    <t>P3O2A2 Capacitar a gerentes de proyecto en la programación y ejecución de recursos</t>
  </si>
  <si>
    <t>Jornadas de capacitación en programación y ejecución de recursos realizadas</t>
  </si>
  <si>
    <t>Jornadas de socialización relacionadas a la programación y/o ejecución de recursos.</t>
  </si>
  <si>
    <t xml:space="preserve">  Sumatoria módulos de capacitación realizadas     </t>
  </si>
  <si>
    <t>Sumatoria módulos de capacitación realizadas</t>
  </si>
  <si>
    <t>Jornadas de socialización frente a la programación y ejecución de recursos.</t>
  </si>
  <si>
    <t>• Estructurar jornadas de socialización frente a la programación y ejecución de recursos. 
Preparar el material para las jornadas de socialización.
Desarrollar las jornadas de socialización.</t>
  </si>
  <si>
    <t xml:space="preserve">* Alcanzar niveles óptimos de ejecución en los recursos asignados a las dependencias
* Transferencia del conocimiento 
* Contribuir a las gestión de las dependencias ejecutoras y la Subdirección Financiera
* Prevención de riesgos. </t>
  </si>
  <si>
    <t>*Convocatorias
* Material dispuesto para las capacitaciones
* Listas de asistencias a las jornadas realizadas.</t>
  </si>
  <si>
    <t>Generar lineamientos técnicos para la programación, priorización, ejecución y seguimiento de recursos financieros</t>
  </si>
  <si>
    <t>Lineamientos técnicos para la programación, priorización, ejecución y seguimiento de recursos financieros generados</t>
  </si>
  <si>
    <t>Lineamientos divulgados frente a programación y ejecución de recursos para la vigencia.</t>
  </si>
  <si>
    <t xml:space="preserve">  Sumatoria de documentos de lineamientos frente a programación y ejecución de recursos socializados     </t>
  </si>
  <si>
    <t>Sumatoria de documentos de lineamientos frente a programación y ejecución de recursos socializados</t>
  </si>
  <si>
    <t>Lineamientos frente a programación y ejecución de recursos para la vigencia.</t>
  </si>
  <si>
    <t>• Circulares de lineamientos frente a la programación y ejecución de recursos financieros</t>
  </si>
  <si>
    <t>* Divulgar y sensibilizar las directrices relacionadas con los temas financieros de interés para las dependencias.
* Contribuir a las gestión de las dependencias ejecutoras y la Subdirección Financiera
* Prevención de riesgos.</t>
  </si>
  <si>
    <t>* Circulares emitidas, comunicaciones internas y documentos socializados con las dependencias.</t>
  </si>
  <si>
    <t>Realizar eficientemente la gestión de pagos</t>
  </si>
  <si>
    <t>Gestión eficiente de pagos</t>
  </si>
  <si>
    <t>Tiempo de desembolsos a contratistas, expresado en días.</t>
  </si>
  <si>
    <t xml:space="preserve">  Días promedio para gestionar integralmente las solicitudes de pagos recibidas      </t>
  </si>
  <si>
    <t xml:space="preserve">Días promedio para gestionar integralmente las solicitudes de pagos recibidas </t>
  </si>
  <si>
    <t>Gestión de pago</t>
  </si>
  <si>
    <t>Decreciente</t>
  </si>
  <si>
    <t>• Desembolsos a contratistas.</t>
  </si>
  <si>
    <t xml:space="preserve">* Satisfacción del cliente
* Garantes del cumplimiento contractual y tributario. </t>
  </si>
  <si>
    <t>*  Ordenes de pago planillas de giro
* Hoja de ruta
* Planillas de liquidación liquidadas y pagadas</t>
  </si>
  <si>
    <t xml:space="preserve">Eficiencia </t>
  </si>
  <si>
    <t>Elaborar los documentos de Seguimiento a la ejecución presupuestal vigencia, reserva y pasivos exigibles y al componente PAC.</t>
  </si>
  <si>
    <t>Documentos de Seguimiento a la ejecución presupuestal vigencia, reserva y pasivos exigibles y al componente PAC elaborados</t>
  </si>
  <si>
    <t>Número de memorandos o presentaciones con la información presupuestal sintetizada.</t>
  </si>
  <si>
    <t xml:space="preserve">  Sumatoria de documentos de Seguimiento a la ejecución presupuestal vigencia, reserva y pasivos exigibles y al componente PAC.     </t>
  </si>
  <si>
    <t>Sumatoria de documentos de Seguimiento a la ejecución presupuestal vigencia, reserva y pasivos exigibles y al componente PAC.</t>
  </si>
  <si>
    <t>Seguimiento a la ejecución presupuestal vigencia, reserva y pasivos exigibles y al componente PAC.</t>
  </si>
  <si>
    <t>• Memorandos o presentaciones con la información presupuestal sintetizada.</t>
  </si>
  <si>
    <t>* Proporcionar las herramientas para la toma de decisiones.</t>
  </si>
  <si>
    <t>* Comunicaciones enviadas.</t>
  </si>
  <si>
    <t>Presentar oportunamente los estados financieros de la entidad ante la Dirección Distrital de Contabilidad</t>
  </si>
  <si>
    <t xml:space="preserve">Estados financieros de la entidad, presentados oportunamente, ante la Dirección Distrital de Contabilidad </t>
  </si>
  <si>
    <t xml:space="preserve">Sumatoria de Estados financieros de la entidad, presentados oportunamente, ante la Dirección Distrital de Contabilidad </t>
  </si>
  <si>
    <t xml:space="preserve">Número de estados financieros de la entidad, presentados oportunamente, ante la Dirección Distrital de Contabilidad </t>
  </si>
  <si>
    <t xml:space="preserve">* Veeduría y control a los recursos públicos
* Cumplimiento normativo para evitar sanciones. </t>
  </si>
  <si>
    <t>* Constancia de la validación de la información contable. 
* Información de la auditoria - Control interno y Contraloría.</t>
  </si>
  <si>
    <t>Programación y Seguimiento a los Planes Institucionales</t>
  </si>
  <si>
    <t>Hoja de Vida de Indicador - Visor</t>
  </si>
  <si>
    <t>Última actualización:</t>
  </si>
  <si>
    <t>INFORMACIÓN GENERAL</t>
  </si>
  <si>
    <t>Vigencia:</t>
  </si>
  <si>
    <t>ID INDICADOR</t>
  </si>
  <si>
    <t>ALINEACIÓN ESTRATÉGICA DEL INDICADOR O META</t>
  </si>
  <si>
    <t>Aplica Únicamente para proyectos de inversión:</t>
  </si>
  <si>
    <t>Programa</t>
  </si>
  <si>
    <t>Pilar</t>
  </si>
  <si>
    <t>INFORMACIÓN DEL INDICADOR</t>
  </si>
  <si>
    <t>Meta</t>
  </si>
  <si>
    <t>Descripción del Indicador vigente</t>
  </si>
  <si>
    <t>Fecha de creación</t>
  </si>
  <si>
    <t>CÁLCULO DEL INDICADOR</t>
  </si>
  <si>
    <t>INFORMACIÓN PLURIANUAL</t>
  </si>
  <si>
    <t>Vigencia/año</t>
  </si>
  <si>
    <t xml:space="preserve"> </t>
  </si>
  <si>
    <t>Cuatrienio</t>
  </si>
  <si>
    <t>Ejecución</t>
  </si>
  <si>
    <t>Apropiación</t>
  </si>
  <si>
    <t>Compromisos</t>
  </si>
  <si>
    <t>% Ejecución presupuestal</t>
  </si>
  <si>
    <t>Ficha de Seguimiento Indicador - Visor</t>
  </si>
  <si>
    <t>ALINEACIÓN ESTRATÉGICA DEL INDICADOR</t>
  </si>
  <si>
    <t>INFORMACIÓN DEL INDICADOR O META</t>
  </si>
  <si>
    <t>MEDICIÓN DEL AVANCE Y CUMPLIMIENTO DEL INDICADOR</t>
  </si>
  <si>
    <t>Meta Vigencia:</t>
  </si>
  <si>
    <t>Gráfico Meta VS. Avance</t>
  </si>
  <si>
    <t>Mes</t>
  </si>
  <si>
    <t>Meta Programada</t>
  </si>
  <si>
    <t>Ejecución
Variable 1</t>
  </si>
  <si>
    <t>Avance cuantitativo</t>
  </si>
  <si>
    <t>% Cumplimiento
Acumulado</t>
  </si>
  <si>
    <t>Enero</t>
  </si>
  <si>
    <t>Febrero</t>
  </si>
  <si>
    <t>Marzo</t>
  </si>
  <si>
    <t>Abril</t>
  </si>
  <si>
    <t>Mayo</t>
  </si>
  <si>
    <t>Junio</t>
  </si>
  <si>
    <t>Total</t>
  </si>
  <si>
    <t>INFORME DE AVANCE CUALITATIVO</t>
  </si>
  <si>
    <t>Avances en la gestión para la generación del producto y/o el resultado</t>
  </si>
  <si>
    <t>Retrasos o dificultades, y soluciones para el cumplimiento de la meta, en la generación del producto y la ejecución de actividades</t>
  </si>
  <si>
    <t>Beneficios, logros y resultados obtenidos por la generación del producto y la ejecución de actividades</t>
  </si>
  <si>
    <t>Área o dependencia:</t>
  </si>
  <si>
    <t>Responsable de aprobación:</t>
  </si>
  <si>
    <t>Responsable de elaboración:</t>
  </si>
  <si>
    <t>RETROALIMENTACIÓN</t>
  </si>
  <si>
    <t>T1_</t>
  </si>
  <si>
    <t>T2_</t>
  </si>
  <si>
    <t>T3_</t>
  </si>
  <si>
    <t>T4_</t>
  </si>
  <si>
    <t>CRITERIOS</t>
  </si>
  <si>
    <t>PERIODO 1</t>
  </si>
  <si>
    <t>PERIODO 2</t>
  </si>
  <si>
    <t>PERIODO3</t>
  </si>
  <si>
    <t>PERIODO 4</t>
  </si>
  <si>
    <t>Se tomaron en cuenta recomendaciones OAP: Observancia</t>
  </si>
  <si>
    <t>Avance Cuantitativo Periodo: Cumplimiento</t>
  </si>
  <si>
    <t>Avances, Logros y beneficios: Suficiencia</t>
  </si>
  <si>
    <t>Avance cualitativo vs. Descripción del indicador: Correspondencia</t>
  </si>
  <si>
    <t>Avance Cualitativo Vs. Avance cuantitativo: Coherencia</t>
  </si>
  <si>
    <t>Retrasos o dificultades Vs. Avance cuantitativo: Articulación</t>
  </si>
  <si>
    <t>Avance cualitativo Vs. Las actividades</t>
  </si>
  <si>
    <t>Fuentes de Verificación Vs. Avance cuantitativo y cualitativo del indicador: Consistencia</t>
  </si>
  <si>
    <t>Reporte de información: Oportunidad</t>
  </si>
  <si>
    <t>Obs</t>
  </si>
  <si>
    <t>OBSERVACIONES</t>
  </si>
  <si>
    <t>Elaboró</t>
  </si>
  <si>
    <t>Responsable OAP realimentación</t>
  </si>
  <si>
    <t>INFORMACIÓN PRESUPUESTAL</t>
  </si>
  <si>
    <t>Apropiación actual</t>
  </si>
  <si>
    <t>Giros</t>
  </si>
  <si>
    <t>% Comprometido</t>
  </si>
  <si>
    <t>% Girado de la apropiación</t>
  </si>
  <si>
    <t>% Girado de los compromisos</t>
  </si>
  <si>
    <t>Reservas constituidas</t>
  </si>
  <si>
    <t>Giros de la reserva</t>
  </si>
  <si>
    <t>% Giraado de la reserva</t>
  </si>
  <si>
    <t>#Memorando /Correo Entrada</t>
  </si>
  <si>
    <t># Memorando/Correo Salida</t>
  </si>
  <si>
    <t>Fecha Memo / Correo Entrada</t>
  </si>
  <si>
    <t>Fecha Memo / Correo salida</t>
  </si>
  <si>
    <t>Responsable OAP del Cambio</t>
  </si>
  <si>
    <t>Fecha VoBo</t>
  </si>
  <si>
    <t>Id_Indicador</t>
  </si>
  <si>
    <t>Dependencia</t>
  </si>
  <si>
    <t>Memo+ID</t>
  </si>
  <si>
    <t>Tipo de cambio1</t>
  </si>
  <si>
    <t>C1_V</t>
  </si>
  <si>
    <t>C1_N</t>
  </si>
  <si>
    <t>Observación</t>
  </si>
  <si>
    <t>Tipo de cambio2</t>
  </si>
  <si>
    <t>C2_V</t>
  </si>
  <si>
    <t>C2_N</t>
  </si>
  <si>
    <t>Observación2</t>
  </si>
  <si>
    <t>Tipo de cambio3</t>
  </si>
  <si>
    <t>C3_V</t>
  </si>
  <si>
    <t>C3_N</t>
  </si>
  <si>
    <t>Observación3</t>
  </si>
  <si>
    <t>Tipo de cambio4</t>
  </si>
  <si>
    <t>C4_V</t>
  </si>
  <si>
    <t>C4_N</t>
  </si>
  <si>
    <t>Observación4</t>
  </si>
  <si>
    <t>Tipo de cambio5</t>
  </si>
  <si>
    <t>C5_V</t>
  </si>
  <si>
    <t>C5_N</t>
  </si>
  <si>
    <t>Observación5</t>
  </si>
  <si>
    <t>Fecha Solución</t>
  </si>
  <si>
    <t>Solucionado</t>
  </si>
  <si>
    <t>Correo electrónico</t>
  </si>
  <si>
    <t>Jorge Ruiz</t>
  </si>
  <si>
    <t>CAL</t>
  </si>
  <si>
    <t>Inclusión</t>
  </si>
  <si>
    <t>Se incorpora indicador</t>
  </si>
  <si>
    <t>Se incorporó este indicador en la base de datos por solicitud del área en reunión con el asesor de la OAP (Marcela García)</t>
  </si>
  <si>
    <t>Aplicado</t>
  </si>
  <si>
    <t>3-2020-12654</t>
  </si>
  <si>
    <t>PRO</t>
  </si>
  <si>
    <t>Eliminacion</t>
  </si>
  <si>
    <t>Se elimina el indicador</t>
  </si>
  <si>
    <t xml:space="preserve">3-2020-12843 </t>
  </si>
  <si>
    <t>Dirección Distrital de Archivo.</t>
  </si>
  <si>
    <t>Ajuste</t>
  </si>
  <si>
    <t>Tendencia Anual: Suma</t>
  </si>
  <si>
    <t>Tendencia Anual: Constante</t>
  </si>
  <si>
    <t>3-2020-12890</t>
  </si>
  <si>
    <t>Fórmula de % de cumplimiento acumulado</t>
  </si>
  <si>
    <t>Se ajusta la fórmula de % de cumplimiento acumulado para el indicador</t>
  </si>
  <si>
    <t xml:space="preserve">En el marco de la reunión realizada el 18 de junio por teams y conforme a radicado remitido, se ajusta la fórmula del % de cumplimiento acumulado para el indicador </t>
  </si>
  <si>
    <t xml:space="preserve">Modificación Meta </t>
  </si>
  <si>
    <t>Meta 2020: 49</t>
  </si>
  <si>
    <t>Meta 2020: 100</t>
  </si>
  <si>
    <t>En el marco de la reunión realizada por Teams  y a correo remitido  el 19  de junio, se realiza la modificación de la meta 2020 de 49 a 100%</t>
  </si>
  <si>
    <t>Nombre del indicador: Plan integral de gestión ambiental-PIGA implementado</t>
  </si>
  <si>
    <t>Nombre del indicador: Plan Institucional de Gestión Ambiental-PIGA  implementado</t>
  </si>
  <si>
    <t>En el marco de la reunión realizada el 18 de junio por teams y conforme a radicado y correo  remitido el 19de junio  se corrige el nombre del indicador de Plan Integral por Plan Institucional</t>
  </si>
  <si>
    <t>Modificación del nombre de la variable 1  y  variable 2</t>
  </si>
  <si>
    <t>Modificación del nombre de la variable 1 : "Actividades del PIGA de la vigencia ejecutadas"  y de la variable 2: "Actividades del PIGA de la vigencia programadas" junto con la fórmula}</t>
  </si>
  <si>
    <t>Modificación del nombre de la variable 1 : "Porcentaje actividades PIGA de la vigencia ejecutadas"  y de la variable 2: "Porcentaje de actividades del PIGA de la vigencia programadas", en consecuencia se ajusta la fórmula.</t>
  </si>
  <si>
    <t>En el marco de la reunión realizada el 18 de junio por teams y conforme a radicado remitido, se modifca el nombre de la variable 1 y variable 2 a porcentaje y consecuencia se ajusta la fórmula.</t>
  </si>
  <si>
    <t>Meta 2020: 46.28</t>
  </si>
  <si>
    <t>Meta 2020: 100%</t>
  </si>
  <si>
    <t>En el marco de la reunión realizada por Teams y a correo remitido  el 19  de junio, se realiza la modificación de la meta 2020 de 46.28 a 100%</t>
  </si>
  <si>
    <t>Formula del indicador: (Evaluaciones calificadas como buenas en el sistema de Servicios Administrativos / Solicitudes tramitadas y prestadas efectivamente)*100</t>
  </si>
  <si>
    <t>Formula del indicador: (Evaluaciones calificadas como buenas en la prestación de Servicios Administrativos / Solicitudes tramitadas y prestadas efectivamente)*100</t>
  </si>
  <si>
    <t>En el marco de la reunión realizada el 18 de junio por teams y conforme a radicado remitido, se modifca la fórmula de indicador.</t>
  </si>
  <si>
    <t xml:space="preserve">Modificación del nombre de la variable 1: Evaluaciones calificadas como buenas en el sistema de Servicios Administrativos </t>
  </si>
  <si>
    <t xml:space="preserve">Modificación del nombre de la variable 1:Evaluaciones calificadas como buenas en la prestación de Servicios Administrativos </t>
  </si>
  <si>
    <t>En el marco de la reunión realizada el 18 de junio por teams y conforme a radicado remitido, se modifca el nombre de la variable 1., teniendo en cuenta que es necesario reportar la ejecución de los meses de abril y mayo, por cuanto las solicitudes de los servicios para los meses en mención no se realizaron por el aplicativo de servicios admnsitrativos como se definió incialmente el indicador, sino por correo electrónico.</t>
  </si>
  <si>
    <t>Modificación de la programación</t>
  </si>
  <si>
    <t>Programación : Ene: 95; Feb:95; Mar:95; Abr:95; May: 95</t>
  </si>
  <si>
    <t>Programación : Ene: 107; Feb:132; Mar:51; Abr:146; May: 162</t>
  </si>
  <si>
    <t>En el marco de la reunión realizada por Teams y a correo remitido  el 19  de junio, se realiza la modificación de la programación de los meses enero a mayo de la vigencia 2020
El indicador tiene una tendencia mensual constante del 95%, y teniendo en cuenta su hoja de vida, no es posible modificar la programación como se solicita.</t>
  </si>
  <si>
    <t xml:space="preserve">Modificación del  reporte del seguimiento </t>
  </si>
  <si>
    <t xml:space="preserve">Reporte seguimiento:
°Ene: V1/95 - V2/95; 
°Feb: V1/95 - V2/95; 
°Mar:V1/95 - V2/95; 
°Abr:V1/95 - V2/95;
°May: V1/95 - V2/95; </t>
  </si>
  <si>
    <t>Reporte seguimiento:_x000D_
°Ene: V1/107 - V2/107; _x000D_
°Feb:V1/132 - V2/132; _x000D_
°Mar:V1/51 - V2/51; _x000D_
°Abr:V1/146 - V2/146;_x000D_
°May: V1/162 - V2/162</t>
  </si>
  <si>
    <t>En el marco de la reunión realizada por Teams y a correo remitido  el 19  de junio, se realiza la modificación del  reporte de seguimiento en la variable 1 y la variable 2 en los meses enero a mayo de la vigencia 2020</t>
  </si>
  <si>
    <t>Modificar Reporte variable 2 de 95 a 100</t>
  </si>
  <si>
    <t>Solicitud mediante memorando: Lo anterior obedece a que el porcentaje máximo de evaluación que se puede obtener de las encuestas de satisfacción de los consumos entregados es equivalente al 100% y no al 95%.</t>
  </si>
  <si>
    <t>3-2020-12982</t>
  </si>
  <si>
    <t>Oficina - Alta Consejería Distrital de TIC</t>
  </si>
  <si>
    <t>Eliminación</t>
  </si>
  <si>
    <t>Cesar Arcos</t>
  </si>
  <si>
    <t>160b</t>
  </si>
  <si>
    <t>Se justa el reporte de avance en la gestión</t>
  </si>
  <si>
    <t>A través de reunión virtual en Teams y producto de la retroalimentación efectuada, se realizó el ajuste del reporte inicial, complementando el avance en la gestión para cada periodo de enero a mayo, incorporando las cifras obtenidas del reporte cuantitativo, respecto al número de expedientes con etapa procesal.</t>
  </si>
  <si>
    <t>A través de reunión virtual en Teams y producto de la retroalimentación efectuada, se realizó el ajuste del reporte inicial, complementando el avance en la gestión para cada periodo, así como los beneficios, logros y resultados, incorporando los resultados del seguimiento a la reserva y los pasivos exigibles.</t>
  </si>
  <si>
    <t xml:space="preserve">Variable 1 y 2 </t>
  </si>
  <si>
    <t>Se ajustan de acuerdo con la fórmula del indicador a:
V1: Número de dependencias de la Secretaría General y entidades distritales retroalimentadas
V2: Número de dependencias de la Secretaría General y entidades Distritales que presentan observaciones a sus respuestas evaluadas</t>
  </si>
  <si>
    <t>Se ajustan las variables de acuerdo con la solicitud recibida</t>
  </si>
  <si>
    <t xml:space="preserve">Variable 2 </t>
  </si>
  <si>
    <t>Se ajusta de acuerdo con la fórmula del indicador a:
V2: Dependencias de la SG identificadas con peticiones vencidas en el mes anterior y entidades distritales identificadas con 3 o más peticiones vencidas en el mes anterior</t>
  </si>
  <si>
    <t>Se ajusta la variable 2 de acuerdo con la solicitud recibida</t>
  </si>
  <si>
    <t>3-2020-9882
3-2020-12790</t>
  </si>
  <si>
    <t>29/04/2020
17/06/2020</t>
  </si>
  <si>
    <t>3-2020-12789</t>
  </si>
  <si>
    <t>Meta Junio 2020: 1</t>
  </si>
  <si>
    <t>Meta Junio 2020: 5</t>
  </si>
  <si>
    <t>Se reprograma la magnitud del indicador para el mes de Junio, de acuerdo con la solicitud realizada</t>
  </si>
  <si>
    <t>Meta Junio 2020: 6</t>
  </si>
  <si>
    <t>Meta Junio 2020: 2</t>
  </si>
  <si>
    <t>Reporte mayo:
V1: 1    V2: 1</t>
  </si>
  <si>
    <t>Reporte mayo:
V1: 2    V2: 2</t>
  </si>
  <si>
    <t>Se ajusta el reporte de las variables de acuerdo con la solicitud recibida</t>
  </si>
  <si>
    <t>Reporte mayo</t>
  </si>
  <si>
    <t>Se mueve el reporte del mes de mayo al mes de abril, de acuerdo con lo programado inicialmente.</t>
  </si>
  <si>
    <t>3-2020-12829
Correo electrónico</t>
  </si>
  <si>
    <t>18/06/2020
19/06/2020</t>
  </si>
  <si>
    <t>Fórmula de avance cuantitativo</t>
  </si>
  <si>
    <t>Se ajusta la fórmula de avance cuantitativo para el indicador</t>
  </si>
  <si>
    <t>Se ajusta de acuerdo con la solicitud realizada</t>
  </si>
  <si>
    <t>Meta Junio 2020: 100%</t>
  </si>
  <si>
    <t>Meta Junio 2020: 0%</t>
  </si>
  <si>
    <t>Se ajusta en base la forma en que se presenta la meta programada para cada mes</t>
  </si>
  <si>
    <t>Reporte variable 2</t>
  </si>
  <si>
    <t>Se ajusta a V2: 100 para todos los meses</t>
  </si>
  <si>
    <t>Se ajusta de acuerdo con la solicitud realizada:
De acuerdo con la reunión de la tarde de hoy donde encontramos que para los indicadores 21 (de la Subdirección Técnica de Archivo) y 22 (de la Subdirección del Sistema Distrital de Archivos) es necesario ajustar el dato reportado para la variable 2 a 100% para que sea coincidente con lo que establece su fórmula de “Porcentaje máximo de satisfacción de la ciudadanía frente a los servicios prestados por el Archivo Distrital”, acordamos que el cambio se realizará directamente en la base de datos.</t>
  </si>
  <si>
    <t>Meta 2020: 0</t>
  </si>
  <si>
    <t>Meta 2020: 7200</t>
  </si>
  <si>
    <t>Se ajusta de acuerdo con la solicitud realizada:
Es necesario calcular las metas anuales de los indicadores debido a que al ser un campo en color blanco dentro de la herramienta oficial, no lo ajustamos conforme a la programación que se definió.</t>
  </si>
  <si>
    <t>Meta 2020: 21</t>
  </si>
  <si>
    <t>Meta 2020: 1610</t>
  </si>
  <si>
    <t>Programación mensual: 1</t>
  </si>
  <si>
    <t>Programación mensual: 100</t>
  </si>
  <si>
    <t>Se ajusta de acuerdo con la solicitud realizada:
Es necesario cambiar de 1 a 100% (el 1 equivale al 100%) la programación de los indicadores: ID 87, ID PAAC_43, ID PAAC_47. De esta manera coincidirá con los cambios realizados en la base de datos.</t>
  </si>
  <si>
    <t>30/06/2020
06/07/2020</t>
  </si>
  <si>
    <t>Magnitud programación abril</t>
  </si>
  <si>
    <t>Seajusta de 100% a 1 ya que las variables son de tipo numérico</t>
  </si>
  <si>
    <t>Se ajusta de acuerdo con la solicitud realizada:De acuerdo con nuestra conversación, me permito solicitar el cambio de la programación de los indicadores del proceso Gestión del Sistema Distrital de servicio a la ciudadanía, pasando de lo registrado en valor porcentual a número “1” para los indicadores ID87, ID 56A</t>
  </si>
  <si>
    <t>Meta 2020: 25%</t>
  </si>
  <si>
    <t>Magnitud programación junio</t>
  </si>
  <si>
    <t>3-2020-12797</t>
  </si>
  <si>
    <t>Programación junio: Vacío</t>
  </si>
  <si>
    <t>Programación junio: 0</t>
  </si>
  <si>
    <t>3-2020-9831
3-2020-13883</t>
  </si>
  <si>
    <t>28/04/2020
02/07/2020</t>
  </si>
  <si>
    <t>Reporte cualitativo</t>
  </si>
  <si>
    <t>En el Indicador No. 153, quisiera poder ajustar el reporte cualitativo en el sentido de indicar que para el mes de abril de los tres productos que salieron de la Oficina, dos fueron Proyectos de Ley y un Proyecto de Acuerdo</t>
  </si>
  <si>
    <t>En el Indicador No. 154, quisiera hacer una pequeña aclaración en el reporte cualitativo en el sentido de indicar lo siguiente:"Durante el mes de enero, no fueron expedidos Conceptos , debido a que todos los trámites que cursaban en la  Oficina se encontraban dentro del término legal"</t>
  </si>
  <si>
    <t>Reporte cualitativo y cuantitativo</t>
  </si>
  <si>
    <t xml:space="preserve">En el Indicador 159 quisiera pedirte el favor de hacer una juste tanto en la parte cuantitativa como en la cualitativa, debido que por un error involucntario, escribí como productos salidos de la Oficina en ese indicador, un tootal de 71 trámites, siendo correcto que fueron 62. </t>
  </si>
  <si>
    <t>Hoja de reporte a la programación y seguimiento de metas e indicadores. Vigencia 2020</t>
  </si>
  <si>
    <t>Plan Anticorrupción y de Atención al Ciudadano</t>
  </si>
  <si>
    <t>1. REPORTE DE PROGRAMACIÓN</t>
  </si>
  <si>
    <t>1.1. REPORTE METAS</t>
  </si>
  <si>
    <t>Programación Mensual de la Meta</t>
  </si>
  <si>
    <t>INFORMACIÓN PARA ACTUALIZAR CADA VIGENCIA</t>
  </si>
  <si>
    <t>ID_Indicador</t>
  </si>
  <si>
    <t>Meta_Julio</t>
  </si>
  <si>
    <t>Meta_Agosto</t>
  </si>
  <si>
    <t>Meta_Septiembre</t>
  </si>
  <si>
    <t>Meta_Octubre</t>
  </si>
  <si>
    <t>Meta_Noviembre</t>
  </si>
  <si>
    <t>Meta_Diciembre</t>
  </si>
  <si>
    <t>2. REPORTE DE SEGUIMIENTO</t>
  </si>
  <si>
    <t>2.1 REPORTE METAS</t>
  </si>
  <si>
    <t>Reporte Mensual de la Meta</t>
  </si>
  <si>
    <t>Código de variable</t>
  </si>
  <si>
    <t>Variable</t>
  </si>
  <si>
    <t>Formato de la Variable</t>
  </si>
  <si>
    <t>Clasificación de la variable</t>
  </si>
  <si>
    <t>Ejecucion_Julio</t>
  </si>
  <si>
    <t>Ejecucion_Agosto</t>
  </si>
  <si>
    <t>Ejecucion_Septiembre</t>
  </si>
  <si>
    <t>Ejecucion_Octubre</t>
  </si>
  <si>
    <t>Ejecucion_Noviembre</t>
  </si>
  <si>
    <t>Ejecucion_Diciembre</t>
  </si>
  <si>
    <t>Númerico</t>
  </si>
  <si>
    <t>Textual</t>
  </si>
  <si>
    <t>Cualitativo 1</t>
  </si>
  <si>
    <t>La ejecución se ha venido realizando conforme a la programación establecida con el ánimo de gestionar los riesgos de corrupción en la entidad. Se destacaron las actividades como: Publicación del Plan Anticorrupción, monitoreo y retroalimentación al mapa de riesgos</t>
  </si>
  <si>
    <t>La ejecución se ha venido realizando conforme a la programción establecida con el ánimo de gestionar los riesgos de corrupción en la entidad. Se destacaron las actividades como: Seguimiento, monitoreo y actualización del mapa de riesgos</t>
  </si>
  <si>
    <t>La ejecución se ha venido realizando conforme a la programción establecida con el ánimo de gestionar los riesgos de corrupción en la entidad. Se destacaron las actividades como: La publicación del mapa de riesgos en la página web de la entidad</t>
  </si>
  <si>
    <t>La ejecución se ha venido realizando conforme a la programción establecida con el ánimo de gestionar los riesgos de corrupción en la entidad.  Se destacaron las actividades como: Monitoreo y seguimiento al mapa de riesgos a 30 de abril y El seguimiento al mapa de riesgos por parte de la Oficina de Control Interno (Primer Cuatrimestre)</t>
  </si>
  <si>
    <t xml:space="preserve">Se adelantó por parte de  la Oficina de Control Interno Disciplinario (Primer Semestre) la formulación de acciones preventivas dirigidas a 154 funcionarios y colaboradores de la red CADE y la Subdirección de Imprenta Distrital para evitar hechos de corrupción </t>
  </si>
  <si>
    <t>Cualitativo 2</t>
  </si>
  <si>
    <t>No se presentaron retrasos o dificultades para la realización de las actividades</t>
  </si>
  <si>
    <t>Por efectos de la emergencia sanitaria se han presentado dificultades para la ralización de las actividades pero se han podido solucionar con el uso de la tecnología</t>
  </si>
  <si>
    <t>Ninguna</t>
  </si>
  <si>
    <t>Cualitativo 3</t>
  </si>
  <si>
    <t>Las actividades realizadas contribuyen a prevenir y minimizar los riesgos de corrupción en la entidad</t>
  </si>
  <si>
    <t xml:space="preserve">Las actividades realizadas contribuyeron a la orientación de los funcionarios para prevenir y minimizar hechos de corrupción en la entidad </t>
  </si>
  <si>
    <t>Se realizó la racionalización de los trámites de la entidad a saber: Suscrpción y venta del registro distrital y publicación de actos administrativos en el registro distrital, (trámites a cargo de la Subdirección de Imprenta Distrital). El proceso contó con la actualización en la plataforma SUIT, con el respectivo monitoreo y seguimiento</t>
  </si>
  <si>
    <t>La racionalización del proceso de suscripción y registro en el Sistema Único de Información de Trámites generó como beneficio, la simplificación del trámite ya que las solicitudes de "suscripción y venta del registro Distrital", se pueden realizar de manera virtual y conforme a la activación de los roles de funcionamiento que operan en el sistema por parte de las entidades, organos y organismos distritales.
La racionalización del proceso de suscripción y registro en el Sistema Único de Información de Trámites generó como beneficio, la simplificación del trámite ya que las solicitudes de publicación de actos o documentos administrativos, se puede realizar de manera virtual y conforme a la activación de los roles de funcionamiento que operan en el sistema por parte de las entidades, organos y organismos distritales.</t>
  </si>
  <si>
    <t xml:space="preserve">La ejecución se ha venido realizando conforme a la programción establecida con el ánimo de fortalecer  la cultura de rendición de cuentas en la entidad para ello se realizaron mesas territoriales de diálogo ciudadano </t>
  </si>
  <si>
    <t>La ejecución se ha venido realizando conforme a la programción establecida con el ánimo de fortalecer  la cultura de rendición de cuentas en la entidad para ello se realizaron mesas territoriales de diálogo ciudadano y se publicó el informe de peticiones ciudadanas para el año 2019</t>
  </si>
  <si>
    <t>La ejecución se ha venido realizando conforme a la programción establecida con el ánimo de fortalecer  la cultura de rendición de cuentas en la entidad para ello se realizaron mesas territoriales de diálogo ciudadano  y formulación del Plan de Participación Ciudadana</t>
  </si>
  <si>
    <t xml:space="preserve">La ejecución se ha venido realizando conforme a la programción establecida con el ánimo de fortalecer  la cultura de rendición de cuentas en la entidad para ello se elaboró y publicó la Estrategia de Rendición de Cuentas </t>
  </si>
  <si>
    <t>Se realizaron mesas territoriales de diálogo ciudadano y se aprobó el Plan de Participación Ciudadana por parte del Comité Institucional de Gestión y Desempeño</t>
  </si>
  <si>
    <t>Por efectos de la emergencia sanitaria se han presentado dificultades para la ralización de las actividades pero se han podido solucionar con el uso de la tecnología. Se identificó que la actividades de formular el Plan de Participación Ciudadana se podía fortalecer por lo cual se creó en la siguiente versión del PAAC las actividades de validar, socilializar y publicar el plan.</t>
  </si>
  <si>
    <t>Las actividades realizadas contribuyen a fortalecer los procesos de rendición de cuentas en los diferentes espacios  de particiacón ciudadana</t>
  </si>
  <si>
    <t>Los mmiembros de cada una de las mesas tuvieron la oportunidad de presentar observaciones, inquietudes y sugerenciaas con el ánimo de crecer en la obtención de los objetivos propuestos. La entidad tiene un Plan de participación ciudadana aprobado como herramienta para fortalecer los procesos de participación y rendición de cuentas</t>
  </si>
  <si>
    <t>La ejecución se ha venido realizando conforme a la programción establecida con el ánimo de instaurar mecanismos de participación ciudadana para ello se realizaron acciones como: Sensibuilización de ciudadanos, informes PQR, eventos de supercade móvil, Informe denuncias actos de corrupción, cualificación a serviores, retroalimentación a entidades distritales.</t>
  </si>
  <si>
    <t>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t>
  </si>
  <si>
    <t>Se Sensibilizó a ciudadanos/comerciante, Se elaboraron los informes mensuales de: PQR, denuncias actos de corrupción: Se cualificó a serviores, se retroalimentó  a las entidades distritales en temas de respuestas a peticiones ciudadanas y se presentaron los resultados de la medición de satisfacción ciudadana en la red CADE y CLAV</t>
  </si>
  <si>
    <t>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t>
  </si>
  <si>
    <t>El indicador presentea una sobreejecución en razón a lo siguiente: Hay dos actividades donde la dependencia responsable las programó a demanda por tanto en el momento del reporte es que sabemos cual es la programación y ejecución del mismo presentando 75 unidades de programación. De otro lado hay unas actividades de cualificación a servidiores y comerciantes al igual que evaluaicón de peticiones ciudadanas las cuales presentean una sobre ejecucion de 973 unidades programadas, para una sobreejecución de 1,048 unidades del 49,64 % de lo programada para el periodo</t>
  </si>
  <si>
    <t>Las actividades realizadas contribuyen a fortalecer los mecanismos de participación de cara a la buena realción entre la entidad y la ciudadanía</t>
  </si>
  <si>
    <t>Las actividades realizadas contribuyen a fortalecer los mecanismos de participación de cara a la buena realción entre la entidad y la ciudadanía y a la mejora de los funcionarios para la prestación del servicio de cara al ciudadano</t>
  </si>
  <si>
    <t>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t>
  </si>
  <si>
    <t>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 seguimiento al cumplimiento del esquema de publicación</t>
  </si>
  <si>
    <t>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 actualización del esquema de publicación, capacitación en temas de contratación</t>
  </si>
  <si>
    <t>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pública,capacitación en temas de contratación</t>
  </si>
  <si>
    <t>Se realizaron publicaciones en la página web de la entidad conforme al esquema de publicación, se realizó seguimiento al cumplimiento de términos legales para resolver peticiones,  se consolidó la inforamción de peticiones ciudadanas,  Se realizó seguimiento del chat y  del chat-Bot de la línea 195 y de la aplicación SuperCADE Virtual, se elaboró un informe de seguimiento a peticiones de acceso a la información pública.</t>
  </si>
  <si>
    <t>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t>
  </si>
  <si>
    <t>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t>
  </si>
  <si>
    <t>Las actividades realizadas contribuyen a fortalecer los mecanismos que permitan al ciudadano tener accso a la inforamción pública de manera clara, precisa y oportuna</t>
  </si>
  <si>
    <t>Las actividades realizadas contribuyen a fortalecer los mecanismos que permitan al ciudadano tener accso a la inforamción pública de manera clara, precisa y oportuna, de igual forma la información obtenida se utiliza para mejorar los procesos y prestar un mejor servicio</t>
  </si>
  <si>
    <t>Se sensibilizó al equipo directivo de la secretaría General para el fortalecimiento de la cultura ética de la entidad</t>
  </si>
  <si>
    <t>Las actividades realizadas contribuyen a fortalecer los mecanismos que permitan la cultura ética y la integridad en  valores comportamientos y hábitos de los servidores públicos y contratsitas de la entidad</t>
  </si>
  <si>
    <t>Proceso</t>
  </si>
  <si>
    <t>Realizar el monitoreo a la ejecución del Plan Anticorrupción de de Atención al Ciudadano PAAC</t>
  </si>
  <si>
    <t>Matriz de monitoreo a la ejecucución del Plan Anticorrupción de de Atención al Ciudadano PAAC</t>
  </si>
  <si>
    <t>no aplica</t>
  </si>
  <si>
    <t xml:space="preserve">Mediante memorando 3-2020-9716 se solicitó a todas las dependencias con actividades en el Plan Anticorrupción y de Atención al Ciudadano la solicitud de reportar la ejecución de las actividades, para ello se  elaboró una herramienta para que las dependencias registraran las acciones trabajadas en los meses de enero, febrero, marzo y abril. Asimismo, solicito el envio de las evidencias que soportan el cumplimiento de las actividades programadas a traves de un memorando. Para el reporte de las actividades  del PAAC del mes de mayo se solicitó a través del memorando 3-2020- 11650. Una vez recolectada toda la información se monitoreo el avance en la ejecución de las actividades por componente y actividad registrando el cumplimiento en la herramienta diseñada para tal fin. El monitoreo de los primeros cuatro meses fue  un insumo para que la Oficina de Control realizara el seguimiento al PAAC. </t>
  </si>
  <si>
    <t xml:space="preserve">Se identificó que para la primera versión del Plan Anticorrupción y de antención al ciudadano se debian realizar ajustes de redacción y estructura de medición de algunas de las actividades, por lo que se reunió con las dependencias para revisar las actividades, la programación y las metas. Como resultado se publico en abril la segunda versión.
Se creo una nueva herramiento de monitoreo a las actividades del PAAC. 
Se tuvo dificultades para implemenar la transición de medir el PAAC por indicadores indivuduales a contar con un indicador por componente.   
La pandemia COVID -19 , llevo a que algunas dependencias tuvieran que cambiar algunas de las metas propuestas por que se veian directamente afectadas para dar cumplimiento frente a las medidas que se tomaban en la ciudad. </t>
  </si>
  <si>
    <t xml:space="preserve"> EL monitoreo al PAAC permite visualizar el nivel de avance de cada uno  de los componentes, evidenciando el desarrollo de las actividades  programadas por cada una de las dependencias de la entidad. 
A su vez, contar con una herramienta nueva de reporte y monitoreo que muestre  el avance del PAAC por componente y su  progreso mensual,  permite  contar con la información necesaria para 
revisar cada una de las actividades y tomar medidas a tiempo para cumplir con lo programado. </t>
  </si>
  <si>
    <t xml:space="preserve">Durante el mes de enero fue emitido el análisis jurídico de ocho (8)  proyectos de Acuerdo de los 8 solicitados a la Oficina Asesora de Jurídica, dando cumplimiento al 100% de lo solicitado. </t>
  </si>
  <si>
    <t xml:space="preserve">Durante el mes de febrero fue emitido el análisis jurídico de diez (10)  proyectos de Acuerdo de los 10 solicitados a la Oficina Asesora de Jurídica, dando cumplimiento al 100% de lo solicitado. </t>
  </si>
  <si>
    <t xml:space="preserve">Durante el mes de marzo fue emitido el análisis jurídico de siete (7)  proyectos de Acuerdo de los 7 solicitados a la Oficina Asesora de Jurídica, dando cumplimiento al 100% de lo solicitado.  </t>
  </si>
  <si>
    <t xml:space="preserve">Durante el mes de abril fue emitido el análisis jurídico de dos (2) proyectos de ley y un (1)  proyecto de Acuerdo, de los 3 productos solicitados a la Oficina Asesora de Jurídica, dando cumplimiento al 100% de lo solicitado.  </t>
  </si>
  <si>
    <t>Durante el mes de mayol fue emitido el análisis jurídico de dos (2)  proyectos de Acuerdo de los 2 solicitados a la Oficina Asesora de Jurídica, dando cumplimiento al 100% de lo solicitado</t>
  </si>
  <si>
    <t>Durante el mes de junio fue emitido el concepto jurídico de un Proyecto de Ley y dos Proyectos de acuerdo solcitados al a Oficina Asesora de Jurídica, para un total de 3 productos</t>
  </si>
  <si>
    <t xml:space="preserve">Durante este mes  no se presentaron retrasos o dificultades para la expedición del análisis jurídico de los  proyectos de acuerdo  solicitados a la OAJ </t>
  </si>
  <si>
    <t xml:space="preserve">Durante este mes no se presentaron retrasos o dificultades para el cumplimiento de este indicador </t>
  </si>
  <si>
    <t xml:space="preserve">Respaldar jurídicamente la viabilidad juridica o no de los proyectos de acuerdo o de Ley donde la Secretaría General tenga interes y se enmarque dentro de sus funciones. </t>
  </si>
  <si>
    <t>Respaldar jurídicamente la viabilidad juridica o no de los proyectos de acuerdo o de Ley donde la Secretaría General tenga interes y se enmarque dentro de sus funciones</t>
  </si>
  <si>
    <t>Durante el mes de enero, no fueron expedidos Conceptos , debido a que todos los trámites que cursaban en la  Oficina se encontraban dentro del término legal</t>
  </si>
  <si>
    <t>Durante el mes de febrero fueron emitidos tres (3) conceptos jurídicos de los 3 solicitados a la Oficina Asesora de Jurídica, dando cumplimiento al 100% de lo solicitado</t>
  </si>
  <si>
    <t>Durante el mes de marzo fueron emitidos cuatro (4) conceptos jurídicos de los 4 solicitados a la Oficina Asesora de Jurídica, dando cumplimiento al 100% de lo solicitado</t>
  </si>
  <si>
    <t>Durante el mes de abril fue emitido un (1) concepto jurídico de 1 solicitado a la Oficina Asesora de Jurídica, dando cumplimiento al 100% de lo solicitado</t>
  </si>
  <si>
    <t>Durante el mes de mayo fue emitido un (1) concepto jurídico de 1 solicitado a la Oficina Asesora de Jurídica, dando cumplimiento al 100% de lo solicitado</t>
  </si>
  <si>
    <t>Durante el mes de junio fueron emitidos 2 conceptos jurídicos solicitados a la Oificna Asesora de Jurídica dentro del término establecido en el artículo 14 de la Ley 1437 de 2011 y el Decreto Nacional 491 de 2020</t>
  </si>
  <si>
    <t xml:space="preserve">Durante este mes  no se presentaron retrasos o dificultades para la expedición de los Conceptos solicitados a la OAJ </t>
  </si>
  <si>
    <t xml:space="preserve">Durante este mes no se presentaron retrasos en la expedición de los conceptos solicitados a la Oficina </t>
  </si>
  <si>
    <t xml:space="preserve">orientar a todas las dependencias con el fin de prevenir el daño antijuridico </t>
  </si>
  <si>
    <t xml:space="preserve">Orientar a todas las dependencias cuando eleven consultas a la Oficina Asesora de Jurídica, con el fin de prevenir un eventual daño antijuridico </t>
  </si>
  <si>
    <t xml:space="preserve">Durante el mes de enero se revisaron trescientos un (301) Proyectos de actos administrativos de los 301 solicitados a la Oficina Asesora de Jurídica, dando cumplimiento al 100% de lo solicitado. </t>
  </si>
  <si>
    <t xml:space="preserve">Durante el mes de febrero se revisaron ciento ochenta y seis (186) Proyectos de actos administrativos de los 186 solicitados a la Oficina Asesora de Jurídica, dando cumplimiento al 100% de lo solicitado. </t>
  </si>
  <si>
    <t xml:space="preserve">Durante el mes de marzo se revisaron ciento cuarenta y cuatro (144) Proyectos de actos administrativos de los 144 solicitados a la Oficina Asesora de Jurídica, dando cumplimiento al 100% de lo solicitado. </t>
  </si>
  <si>
    <t xml:space="preserve">Durante el mes de abril se revisaron ochenta y seis (86) Proyectos de actos administrativos de los 86 solicitados a la Oficina Asesora de Jurídica, dando cumplimiento al 100% de lo solicitado. </t>
  </si>
  <si>
    <t xml:space="preserve">Durante el mes de mayo se revisaron cuarenta y cinco (45) Proyectos de actos administrativos de los 45 solicitados a la Oficina Asesora de Jurídica, dando cumplimiento al 100% de lo solicitado. </t>
  </si>
  <si>
    <t xml:space="preserve">Durante el mes de junio se analizó la viabilidad jurídica de 58 proyectos de actos administrativos, de acuerdo a la solicitud que hacen las demás dependencias de la Secretaría General a la Oficina Asesora de Jurídica </t>
  </si>
  <si>
    <t xml:space="preserve">Durante el mes no hubo retrasos o dificultades para el cumplimiento de la meta en la generación del producto </t>
  </si>
  <si>
    <t xml:space="preserve">Durante el mes de junio no se presentaron retrasos que impidieran la entrega oportuna del estudio jurídico de los proyectos de actos administrativos analizados </t>
  </si>
  <si>
    <t xml:space="preserve">Prestar apoyo juridico a todas las dependencias con el fin de prevenir el daño antijuridico </t>
  </si>
  <si>
    <t xml:space="preserve">Prestar apoyo juridico a todas las dependencias, cuando requieran por parte de la Oficina Asesora de Jurídica el análisis jurídico de proyectos de actos administrativos,  con el fin de prevenir el daño antijuridico </t>
  </si>
  <si>
    <t xml:space="preserve">Durante el mes de febrero se tramitaron treinta y nueve  (39) actuaciones judiciales de las 39 solicitados a la Oficina Asesora de Jurídica, dando cumplimiento al 100% de lo solicitado. </t>
  </si>
  <si>
    <t xml:space="preserve">Durante el mes de febrero se tramitaron cincuenta y un (51) actuaciones judiciales de las 51 solicitados a la Oficina Asesora de Jurídica, dando cumplimiento al 100% de lo solicitado. </t>
  </si>
  <si>
    <t xml:space="preserve">Durante el mes de marzo se tramitaron sesenta y dos (62) actuaciones judiciales de las 62 solicitados a la Oficina Asesora de Jurídica, dando cumplimiento al 100% de lo solicitado. </t>
  </si>
  <si>
    <t xml:space="preserve">Durante el mes de febrero se tramitaron ocho (8) actuaciones judiciales de las 8 solicitados a la Oficina Asesora de Jurídica, dando cumplimiento al 100% de lo solicitado. </t>
  </si>
  <si>
    <t xml:space="preserve">Durante el mes de febrero se tramitaron trece (13) actuaciones judiciales de las 13 solicitadas a la Oficina Asesora de Jurídica, dando cumplimiento al 100% de lo solicitado. </t>
  </si>
  <si>
    <t xml:space="preserve">Durante el mes de junio se atendieron 21 requerimientos judiciales, consistentes en acciones de tutelas. Es importante precisar que debido a la emergencia sanitaria por la que atraviesa el país derivada de la llegada del Covid-19, el Consejo Superior de la Judicatura mediante los acuerdos PCSJA20-11517, PCSJA20-11518,
PCSJA20-11519, PCSJA20-11521, PCSJA20-11526, PCSJA20-11527, PCSJA20-11528, PCSJA20-11529, PCSJA20-11532, PCSJA20-11546, PCSJA20-11549 y PCSJA20-11556 suspendió los términos judiciales, razón por la cual los procesos judiciales adelantados en la Oficina no tuvieron movimientos en los meses de marzo a junio. </t>
  </si>
  <si>
    <t xml:space="preserve">Durante el mes de junio no se presentaron retrasos que impidieran el adecuado ejercicio de defensa judicial por parte de la Oficina Asesora de Jurídica </t>
  </si>
  <si>
    <t>Ejercer la defensa judicial y extrajudicial de la entidad</t>
  </si>
  <si>
    <t xml:space="preserve">Ejercer la defensa judicial y extrajudicial de la entidad </t>
  </si>
  <si>
    <t>Del total de auditorias programadas se ejecutaron las sigueintes: 1. Asesoria Tecnica ATIC
2. Impresos y registro distrital
3. Control Interno Disciplinario
4. Estrategia de Tecnologia de la Informacion
5. Gestión JurÍdica
6. Administracion y Gestion publica
7. Servicios Adminsitrativos
8. Atención de victimas
9. Infraestructura Recursos Tecnologicos
10. Gestion Financiera
11. Gestión Documental Interna</t>
  </si>
  <si>
    <t>Para el mes de mayo se encontraban programadas 17 auditorías de las cuales se ejecutaron 11 de estas, sin embargo, en el mes de junio se realizaron las restantes 7 de mayo y se culminaron las auditorías a los 22 proceso de la entidad, los informes se relacionan a continuación: 1. Seguridad y salud en el trabajo, 2 Política pública, 3 Recursos Físicos, 4 Función Archivística, 5 Internacionalización de Bogotá, 6 Direccionamiento Estratégico, 7 Comunicación Publica, 8 Talento Humano, 9 Servicio a la ciudadanía, 10 Contratación y 11 Control Interno.</t>
  </si>
  <si>
    <t>Teniendo en cuenta la situacion de confinamiento obligatorio, se vio la necesidad de reprogramar algunas auditorias, ya que los lideres de los procesos o equipo de auditor presentaban agendas con varias asignaciones, por lo anterior no se ejecutaron la totalidad de auditorias programadas, sin embargo, estas se ejecutaran en junio 2020.</t>
  </si>
  <si>
    <t>No se presentaron dificultades</t>
  </si>
  <si>
    <t>En el mes de enero se dio cumplimiento a la totalidad de actividades programadas las cuales atendieron a: Informe Gestión Judicial II semestre 2019, Informe Seguimiento Comité Conciliación III Trim 2019, Informe Seguimiento PAAC Corte 31122019, Informe Monitoreo Riesgos de Corrupción Entidad III cuatrimestre de 2019, Informe Seguimiento Contingente Judicial IV Trim 2019 y Evaluación Control Interno Contable  2019.</t>
  </si>
  <si>
    <t>En el mes de enero se dio cumplimiento a la totalidad de actividades programadas las cuales atendieron a: Consolidación planes de mejoramiento auditorías internas, Informe Resultados Evaluación Institucional por Dependencias, Seguimiento Plan de Mejoramiento Contraloría corte 31 enero 2020, Seguimiento a la PQRD`S, Cuenta Anual Contraloría de Bogotá 2019, Pormenorizado del SCI II semestre 2019, Seguimiento a la ejecución contractual y presupuesta a 31 de Enero 2020 y Seguimiento Metas PDD Corte al 31 Dic 2019.</t>
  </si>
  <si>
    <t>En el mes de enero se dio cumplimiento a la totalidad de actividades programadas las cuales atendieron a: Ejecución Presupuestal y Contractual a 29 Feb 2020, Seguimiento Plan Mejoramiento Contraloría corte 28 febrero 2020, Auditoria Ley de Transparencia 1712 de 2014, Seguimiento Planes Mejoramiento Auditorías Internas corte Febrero 2020, Auditoria Proceso de Comunicación Pública y Seguimiento Subcomités de Autocontrol.</t>
  </si>
  <si>
    <t>En el mes de enero se dio cumplimiento a la totalidad de actividades programadas las cuales atendieron a: Auditoria Proceso Gestión Estratégica del Talento Humano, Auditoría sobre Uso de Software y Derechos de Autor, Seguimiento Planes Mejoramiento Auditorías Internas corte Marzo 2020, Seguimiento Plan Mejoramiento Contraloría corte 31 marzo 2020, Auditoria Fortalecimiento a la Administración y la Gestión Pública Distrital, Seguimiento SIDEAP, Seguimiento a la ejecución contractual y presupuesta a 31 de marzo 2020, Seguimiento a las Medidas de Austeridad en el Gasto Corte 31. Dic 2019, Auditoria Sistema Distrital de Servicio a la Ciudadanía, Auditoria Asistencia, Atención y Reparación Integral a Víctimas del Conflicto armado e Implementación de Acciones de Memoria, Paz y Reconciliación en Bogotá y Seguimiento Contingente Judicia I Trim 2020.</t>
  </si>
  <si>
    <t>En el mes de enero se dio cumplimiento a la totalidad de actividades programadas las cuales atendieron a: Seguimiento al Plan Institucional de Gestión Ambiental – PIGA, Seguimiento Cumplimiento Directiva 03 de 2015, Auditoria Política de Riesgos, Seguimiento Planes Mejoramiento Auditorías Internas y Contraloría de Bogotá, Seguimiento medidas de austeridad en el Gasto I Trim 2020, Auditoria Gestión Documental, Seguimiento Mapas de Riesgos de Corrupción Entidad, Seguimiento PAAC, Auditoria Internacionalización y Auditoria Sistema Información Victimas del Distrito Capital –SIVIC.</t>
  </si>
  <si>
    <t>Según lo programado en el  Plan Anual de Auditoria de la vigencia 2020, para el mes de junio se encontraban programadas 4 actividades relacionadas con: Seguimiento plan de mejoramiento Interno y Contraloria, seguimiento Subcomites Autocontrol, Racionalizacion de tramites y Soporte Infraestructura, actividades que se ejecutaron en su totalidad.</t>
  </si>
  <si>
    <t>No se presentaron retrasos ni dificultades para el cumplimiento de las actividades programadas.</t>
  </si>
  <si>
    <t>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t>
  </si>
  <si>
    <t>Se emitieron 13 autos, con las siguientes decisiones; 5 autos de archivo,  1 auto inhibitorio, 2 autos de apertura de investigacion disciplinaria, 1 auto de pliego de cargos,  4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t>
  </si>
  <si>
    <t>Se emitieron 12 autos, con las siguientes decisiones; 9 autos de archivo,  1 auto de apertura de investigacion disciplinaria, 2 auto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t>
  </si>
  <si>
    <t>Se emitieron 9 autos, con las siguientes decisiones; 2 autos de archivo,  3 autos de apertura de investigacion disciplinaria, 2 autos de apertura de indagacion preliminar, 1 auto declarando desierto el recurso de apelacion, 1 fallo de primera instancia.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t>
  </si>
  <si>
    <t>Se emitieron 11 autos, con las siguientes decisiones; 2 autos de archivo,  1 auto de nulidad, 2 autos inhibitorio, 6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t>
  </si>
  <si>
    <t>Se emitieron 8 autos, con las siguientes decisiones; 8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t>
  </si>
  <si>
    <t xml:space="preserve">De los 57 expedientes en curso, 57 se encontraban con etapa procesal en terminos.La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t>
  </si>
  <si>
    <t>La meta del indicador se cumplio.</t>
  </si>
  <si>
    <t>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t>
  </si>
  <si>
    <t>Adelantar y sustanciar con celeridad, eficiencia y oportunidad, las decisiones de cada una de las etapas del proceso disciplinario.</t>
  </si>
  <si>
    <t xml:space="preserve">De los 45 expedientes en curso, 43 se encontraban con etapa procesal en terminos. La Jefe de la Oficina realiza seguimiento mensual a los procesos con terminos proximos a vencer, con el fin de que el profesional a cargo del expediente priorice la actuacion que corresponda según la etapa en que se encuentre; lo cual se verifica en la reunion del Subcomite de autocontrol mensual. </t>
  </si>
  <si>
    <t xml:space="preserve">De los 53 expedientes en curso, 50 se encontraban con etapa procesal en terminos. La Jefe de la Oficina realiza seguimiento mensual a los procesos con terminos proximos a vencer, con el fin de que el profesional a cargo del expediente priorice la actuacion que corresponda según la etapa en que se encuentre; lo cual se verifica en la reunion del Subcomite de autocontrol mensual. </t>
  </si>
  <si>
    <t xml:space="preserve">De los 55 expedientes en curso, 51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t>
  </si>
  <si>
    <t xml:space="preserve">De los 56 expedientes en curso, 56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t>
  </si>
  <si>
    <t xml:space="preserve">De los 57 expedientes en curso, 57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t>
  </si>
  <si>
    <t xml:space="preserve">La rotacion de personal en la Oficina, por causa de renuncias en cargos de provisionalidad,   dificulta y afecta el cumplimiento de los terminos en las actuaciones disciplinarias. Al finalizar el año 2019 se presento la renuncia de un profesional, factor que afecta el desarrollo normal de todas las actuaciones disciplinarias dada la  reasignacion de procesos que se debe realizar entre los profesionales de la Oficina con el fin de priorizar aquellos que esten proximos a vencer </t>
  </si>
  <si>
    <t xml:space="preserve">La rotacion de personal en la Oficina, por causa de renuncias en cargos de provisionalidad,   dificulta y afecta el cumplimiento de los terminos en las actuaciones disciplinarias. En el mes de febrero se presento el retiro de un funcionario, lo cual dificulto y afecto el cumplimiento de los terminos en las actuaciones disciplinarias; se reasignaron los procesos a los 2 profesionales de la Oficina con el fin de priorizar aquellos que estaban proximos a vencer. Uno de los procesos vencidos se encuentra pendiente de un concepto solicitado a la procuraduria General de la Nacion, el cual es indisensable para continuar con la actuacion disciplinaria. </t>
  </si>
  <si>
    <t xml:space="preserve">La rotacion de personal en la Oficina, por causa de renuncias en cargos de provisionalidad,   dificulta y afecta el cumplimiento de los terminos en las actuaciones disciplinarias. En el mes de febrero se presento el retiro de un funcionario, lo cual dificulto y afecto el cumplimiento de los terminos en las actuaciones disciplinarias, inclusive las del mes de marzo; se reasignaron los procesos a los 2 profesionales de la Oficina con el fin de priorizar aquellos que estaban proximos a vencer. Uno de los procesos vencidos se encuentra pendiente de un concepto solicitado a la procuraduria General de la Nacion, el cual es indisensable para continuar con la actuacion disciplinaria. </t>
  </si>
  <si>
    <t>Adelantar y sustanciar, en los terminos de Ley, las decisiones de cada una de las etapas del proceso disciplinario.</t>
  </si>
  <si>
    <r>
      <t xml:space="preserve">En Enero de 2020 se obtuvo una </t>
    </r>
    <r>
      <rPr>
        <b/>
        <sz val="11"/>
        <color rgb="FF201F1E"/>
        <rFont val="Calibri"/>
        <family val="2"/>
        <scheme val="minor"/>
      </rPr>
      <t>disponibilidad correspondientes al 97%</t>
    </r>
    <r>
      <rPr>
        <sz val="11"/>
        <color rgb="FF201F1E"/>
        <rFont val="Calibri"/>
        <family val="2"/>
        <scheme val="minor"/>
      </rPr>
      <t xml:space="preserve"> de sistemas y portales o sitios web. El total de horas de No disponibilidad de los sistemas durante el 2020-01-01 y 2020-01-31 fue de 217.33 horas, las ventanas de mantenimientos realizados y registrados en este periodo fueron un total de 2.00</t>
    </r>
  </si>
  <si>
    <r>
      <t xml:space="preserve">En Febrero de 2020 se obtuvo una </t>
    </r>
    <r>
      <rPr>
        <b/>
        <sz val="11"/>
        <color rgb="FF201F1E"/>
        <rFont val="Calibri"/>
        <family val="2"/>
        <scheme val="minor"/>
      </rPr>
      <t>disponibilidad correspondiente al 99.8</t>
    </r>
    <r>
      <rPr>
        <sz val="11"/>
        <color rgb="FF201F1E"/>
        <rFont val="Calibri"/>
        <family val="2"/>
        <scheme val="minor"/>
      </rPr>
      <t>% de sistemas y portales o sitios web. El total de horas de No disponibilidad de los sistemas durante el 2020-02-01 y 2020-02-29 fue de 2.50 horas.  
 Para el Periodo 2020-02-01 y 2020-02-29 , las ventanas de mantenimientos realizados y registrados en este periodo fueron un total de 1.00</t>
    </r>
  </si>
  <si>
    <r>
      <t xml:space="preserve">En Marzo de 2020 se obtuvo una </t>
    </r>
    <r>
      <rPr>
        <b/>
        <sz val="11"/>
        <color rgb="FF201F1E"/>
        <rFont val="Calibri"/>
        <family val="2"/>
        <scheme val="minor"/>
      </rPr>
      <t>disponibilidad correspondiente al 100</t>
    </r>
    <r>
      <rPr>
        <sz val="11"/>
        <color rgb="FF201F1E"/>
        <rFont val="Calibri"/>
        <family val="2"/>
        <scheme val="minor"/>
      </rPr>
      <t>% de sistemas y portales o sitios web. El total de horas de No disponibilidad de los sistemas durante el 2020-03-01 y 2020-03-31 fue de 0.50 horas.  
 Para el Periodo 2020-03-01 y 2020-03-31 , las ventanas de mantenimientos realizados y registrados en este periodo fueron un total de 4.00</t>
    </r>
  </si>
  <si>
    <r>
      <t xml:space="preserve">En Abril de 2020 se obtuvo una </t>
    </r>
    <r>
      <rPr>
        <b/>
        <sz val="11"/>
        <color rgb="FF201F1E"/>
        <rFont val="Calibri"/>
        <family val="2"/>
        <scheme val="minor"/>
      </rPr>
      <t>disponibilidad correspondiente al 99.9</t>
    </r>
    <r>
      <rPr>
        <sz val="11"/>
        <color rgb="FF201F1E"/>
        <rFont val="Calibri"/>
        <family val="2"/>
        <scheme val="minor"/>
      </rPr>
      <t xml:space="preserve">% de sistemas y portales o sitios web. El total de horas de No disponibilidad de los sistemas durante el 2020-04-01 y 2020-04-30 fue de 3.92 horas.  Para el Periodo 2020-04-01 y 2020-04-30 , las ventanas de mantenimientos realizados y registrados en este periodo fueron un total de 5.00 </t>
    </r>
  </si>
  <si>
    <r>
      <t xml:space="preserve">En Mayo de 2020 se obtuvo una </t>
    </r>
    <r>
      <rPr>
        <b/>
        <sz val="11"/>
        <color rgb="FF201F1E"/>
        <rFont val="Calibri"/>
        <family val="2"/>
        <scheme val="minor"/>
      </rPr>
      <t>disponibilidad correspondiente al 100%</t>
    </r>
    <r>
      <rPr>
        <sz val="11"/>
        <color rgb="FF201F1E"/>
        <rFont val="Calibri"/>
        <family val="2"/>
        <scheme val="minor"/>
      </rPr>
      <t xml:space="preserve"> de sistemas y portales o sitios web. El total de horas de No disponibilidad de los sistemas durante el 2020-05-01 y 2020-05-31 fue de 12.58 horas. Las ventanas de mantenimientos realizados y registrados en este periodo fueron un total de 7.00</t>
    </r>
  </si>
  <si>
    <r>
      <t xml:space="preserve">En Mayo de 2020 se obtuvo una </t>
    </r>
    <r>
      <rPr>
        <b/>
        <sz val="11"/>
        <color rgb="FF201F1E"/>
        <rFont val="Calibri"/>
        <family val="2"/>
        <scheme val="minor"/>
      </rPr>
      <t>disponibilidad correspondiente al 99.9%</t>
    </r>
    <r>
      <rPr>
        <sz val="11"/>
        <color rgb="FF201F1E"/>
        <rFont val="Calibri"/>
        <family val="2"/>
        <scheme val="minor"/>
      </rPr>
      <t xml:space="preserve"> de sistemas y portales o sitios web. El total de horas de No disponibilidad de los sistemas durante el 2020-06-01 y 2020-06-30 fue de 25.23 horas. Las ventanas de mantenimientos realizados y registrados en este periodo fueron un total de 2.00</t>
    </r>
  </si>
  <si>
    <t xml:space="preserve">El monitoreo de los componentes de la infraestructura tecnologica permitio que los sistemas y sitios web se encontraran disponibles en el porcentaje establecido por la OTIC para usuarios internos y externos.
  La disponibilidad de sistemas misionales 57.08 % del peso total que es 60 % .
  La disponibilidad de sistemas administrativos 24.99 % del peso total que es 25 %
 La disponibilidad de sistemas portales 15.00 % del peso total que es 15 % </t>
  </si>
  <si>
    <t xml:space="preserve">El monitoreo de los componentes de la infraestructura tecnologica permitio que los sistemas y sitios web se encontraran disponibles en el porcentaje establecido por la OTIC para usuarios internos y externos.
  La disponibilidad de sistemas misionales 59.78 % de un 60 %
  La disponibilidad de sistemas administrativos  25.00 % de un 25 %Administrativo
 La disponibilidad de sistemas portales 15.00 % de un 15 %Portales  </t>
  </si>
  <si>
    <t xml:space="preserve">El monitoreo de los componentes de la infraestructura tecnologica permitio que los sistemas y sitios web se encontraran disponibles en el porcentaje establecido por la OTIC para usuarios internos y externos.
  La disponibilidad de sistemas misionales 60 % de un 60 %
  La disponibilidad de sistemas administrativos  24.99 % de un 25 %
 La disponibilidad de sistemas portales 15.00 % de un 15 %Portales  </t>
  </si>
  <si>
    <t xml:space="preserve">El monitoreo de los componentes de la infraestructura tecnologica permitio que los sistemas y sitios web se encontraran disponibles en el porcentaje establecido por la OTIC para usuarios internos y externos.
  La disponibilidad de sistemas misionales 59.94 % de un 60 %
  La disponibilidad de sistemas administrativos  24.99 % de un 25 %
 La disponibilidad de sistemas portales 15.00 % de un 15 %Portales  </t>
  </si>
  <si>
    <t xml:space="preserve">El monitoreo de los componentes de la infraestructura tecnológica permitió que los sistemas y sitios web se encontraran disponibles en el porcentaje establecido por la OTIC para usuarios internos y externos.
  La disponibilidad de sistemas misionales 59.96 % de un 60 %
  La disponibilidad de sistemas administrativos  24.99 % de un 25 %
 La disponibilidad de sistemas portales 15.00 % de un 15 %Portales  </t>
  </si>
  <si>
    <t>El monitoreo de los componentes de la infraestructura tecnológica permitió que los sistemas y sitios web se encontraran disponibles en el porcentaje establecido por la OTIC para usuarios internos y externos.
 La disponibilidad de sistemas misionales 59.89 % de un 60 % 
La disponibilidad de sistemas administrativos 24.99 % de un 25 %
La disponibilidad de sistemas portales 15.00 % de un 15 %</t>
  </si>
  <si>
    <t>Los resultados de la medición durante el mes de enero de 2020, arroja los siguientes datos: fueron registradas 148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2587 registradas, se debe restar las siguientes:
· 16 solicitudes que se encuentran en “Espera” o “En curso”, en el seguimiento de estas se encuentra registrada la razón por la cual estas solicitudes no se han resuelto.
· 105 solicitudes que NO son de nuestra competencia o Solicitudes NO categorizadas y 488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609 solicitudes.
De acuerdo con lo anterior las solicitudes atendidas corresponden a 1978 de las cuales 1824 están dentro de los SLA establecidos, correspondientes al 92.21% incumpliendo la meta establecida para este indicador.</t>
  </si>
  <si>
    <t>Los resultados de la medición durante el mes de febrero de 2020, arroja los siguientes datos: fueron registradas 2584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2584 registradas, se debe restar las siguientes:
•	24 solicitudes que se encuentran en “Espera” o “En curso”, en el seguimiento de estas se encuentra registrada la razón por la cual estas solicitudes no se han resuelto. 
•	80 solicitudes que NO son de nuestra competencia o Solicitudes NO categorizadas y 210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314 solicitudes. 
De acuerdo con lo anterior las solicitudes atendidas corresponden a 2270 de las cuales 2181 están dentro de los SLA establecidos, correspondientes al 96.08% cumpliendo la meta establecida para este indicador.</t>
  </si>
  <si>
    <t>Los resultados de la medición durante el mes de marzo de 2020, arroja los siguientes datos: fueron registradas 1877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1877 registradas, se debe restar las siguientes:
•	131 solicitudes que se encuentran en “Espera” o “En curso”, en el seguimiento de estas se encuentra registrada la razón por la cual estas solicitudes no se han resuelto. 
•	64 solicitudes que NO son de nuestra competencia o Solicitudes NO categorizadas y 161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356 solicitudes. 
De acuerdo con lo anterior las solicitudes atendidas corresponden a 1521 de las cuales 1437 están dentro de los SLA establecidos, correspondientes al 94.48% cumpliendo la meta establecida para este indicador.</t>
  </si>
  <si>
    <t>Los resultados de la medición durante el mes de abril de 2020, arroja los siguientes datos: fueron registradas 763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763 registradas, se debe restar las siguientes:
•	16 solicitudes que se encuentran en “Espera” o “En curso”, en el seguimiento de estas se encuentra registrada la razón por la cual estas solicitudes no se han resuelto. 
•	19 solicitudes que NO son de nuestra competencia o Solicitudes NO categorizadas y 119 servicios que corresponden a la atención del sistema SIVIC el cual se realiza directamente por los ingenieros de la Alta Consejeria para los derechos de las víctimas la paz y la reconciliación (ACDVPR) y por tal razón no son de competencia de la Oficina TIC.
Para efectos del indicador no se tendrán en cuenta 154 solicitudes. 
De acuerdo con lo anterior las solicitudes atendidas corresponden a 609 de las cuales 586 están dentro de los SLA establecidos, correspondientes al 96.22% cumpliendo la meta establecida para este indicador.</t>
  </si>
  <si>
    <t>Los resultados de la medición durante el mes de mayo de 2020, arroja los siguientes datos: fueron registradas 1189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1189 registradas, se debe restar las siguientes:
•	218 solicitudes que se encuentran en “Espera” o “En curso”, en el seguimiento de estas se encuentra registrada la razón por la cual estas solicitudes no se han resuelto. 
•	14 solicitudes que NO son de nuestra competencia o Solicitudes NO categorizadas y 55 servicios que corresponden a la atención del sistema SIVIC el cual se realiza directamente por los ingenieros de la Alta Consejería para los derechos de las víctimas la paz y la reconciliación (ACDVPR) y 2 servicios que corresponde a actividades administrativas realizadas por la Subdirección de servicios administrativos y por tal razón no son de competencia de la Oficina TIC. 
Para efectos del indicador no se tendrán en cuenta 289 solicitudes. 
De acuerdo con lo anterior las solicitudes atendidas corresponden a 900 de las cuales 850 están dentro de los SLA establecidos, correspondientes al 94.44% cumpliendo la meta establecida para este indicador.</t>
  </si>
  <si>
    <t>Los resultados de la medición durante el mes de junio de 2020, arroja los siguientes datos: fueron registradas 1256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1189 registradas, se debe restar las siguientes:
•	120 solicitudes que se encuentran en “Espera” o “En curso”, en el seguimiento de estas se encuentra registrada la razón por la cual estas solicitudes no se han resuelto. 
•	10 solicitudes que NO son de nuestra competencia o Solicitudes NO categorizadas y 38 servicios que corresponden a la atención del sistema SIVIC el cual se realiza directamente por los ingenieros de la Alta Consejería para los derechos de las víctimas la paz y la reconciliación (ACDVPR) por tal razón no son de competencia de la Oficina TIC. 
Para efectos del indicador no se tendrán en cuenta 168 solicitudes. 
De acuerdo con lo anterior las solicitudes atendidas corresponden a 1088 de las cuales 999 están dentro de los SLA establecidos, correspondientes al 91.82% incumpliendo la meta establecida para este indicador.</t>
  </si>
  <si>
    <t>Se evidencia un aumento en los servicios de creación de usuarios de red y tarjeta de proximidad, lo cual impactan la prestación normal del servicio.</t>
  </si>
  <si>
    <r>
      <t>S</t>
    </r>
    <r>
      <rPr>
        <sz val="11"/>
        <color theme="1"/>
        <rFont val="Arial"/>
        <family val="2"/>
      </rPr>
      <t xml:space="preserve">e </t>
    </r>
    <r>
      <rPr>
        <sz val="11"/>
        <color rgb="FF000000"/>
        <rFont val="Arial"/>
        <family val="2"/>
      </rPr>
      <t>inicia plan de contingencia por la pandemia COVID-19 y plan de alistamiento donde se priorizan los servicios de asignación de VPN y gestión de los sistemas de información desde casa.
Con el fin de mejor el indicador se proponen las siguientes actividades:
•	Capacitación en el uso y manejo del sistema de gestión de servicios (GLPI) encaminado a crear en los ingenieros o técnicos tanto de nivel 0, nivel 1 como de nivel 2, el hábito de registrar en la herramienta las actividades que se hacen entorno a una solicitud, evidenciando de esta manera, todo el trabajo que se requiere dar solución a un requerimiento. 
•	Se comunicará al interior de la oficina TIC los SLA que corresponden a cada una de las categorías existentes en el sistema de gestión de servicios</t>
    </r>
  </si>
  <si>
    <t>Las solicitudes reportados por los usuarios de la infraestructura tecnológica de la Secretaria General se solucionan en un tiempo establecido como política por la Oficina de las tecnologías de la información y las comunicaciones. Se logra un 92.2%</t>
  </si>
  <si>
    <t xml:space="preserve">En este tiempo todas las solicitudes fueron registradas en el sistema de gestión de servicios (GLPI). De las 2584 que fueron registradas, se tiene en cuenta para el análisis 2270 solicitudes de las cuales 2181 están dentro de los SLA establecidos, correspondientes al 96.08%. </t>
  </si>
  <si>
    <t xml:space="preserve">En este tiempo todas las solicitudes fueron registradas en el sistema de gestión de servicios (GLPI). De las 1877 que fueron registradas, se tiene en cuenta para el análisis 1521 solicitudes de las cuales 1437 están dentro de los SLA establecidos, correspondientes al 94.48%. </t>
  </si>
  <si>
    <t xml:space="preserve">En este tiempo todas las solicitudes fueron registradas en el sistema de gestión de servicios (GLPI). De las 763 que fueron registradas, se tiene en cuenta para el análisis 609 solicitudes de las cuales 586 están dentro de los SLA establecidos, correspondientes al 96.22%. </t>
  </si>
  <si>
    <t xml:space="preserve">En este tiempo todas las solicitudes fueron registradas en el sistema de gestión de servicios (GLPI). De las 1189 que fueron registradas, se tiene en cuenta para el análisis 900 solicitudes de las cuales 850 están dentro de los SLA establecidos, correspondientes al 94.44%. </t>
  </si>
  <si>
    <t xml:space="preserve">En este tiempo todas las solicitudes fueron registradas en el sistema de gestión de servicios (GLPI). De las 1256 que fueron registradas, se tiene en cuenta para el análisis 1088 solicitudes de las cuales 999 están dentro de los SLA establecidos, correspondientes al 91.82%. </t>
  </si>
  <si>
    <t>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t>
  </si>
  <si>
    <t>ENERO:  Plan de trabajo - Acompañamiento de articulación con las entidades del Distrito para integrarlas al ERP BogData-SAP de la SDH
FEBRERO: Informe mensual de Acompañamiento de articulación con las entidades del Distrito. MARZO:  Informe mensual de Acompañamiento de articulación con las entidades del Distrito. ABRIL:  Informe mensual de Acompañamiento de articulación con las entidades del Distrito. MAYO: Gestión Estrategía Implementación ERP: Informe mensual de Acompañamiento de articulación con las entidades del Distrito.</t>
  </si>
  <si>
    <t>Datos Abiertos: Generar emprendimiento, innovación, gobierno abierto y cumplimiento de la política de transparencia por parte de las entidades distritales.</t>
  </si>
  <si>
    <t>"Marzo: Informe datos abiertos
Junio: Informe datos abiertos
Página: https://datosabiertos.bogota.gov.co/"</t>
  </si>
  <si>
    <t>Corresponde a las garantias que debe proveer la ACDVPR para que los integrantes de las mesas de participación local, asistana a las sesiones.</t>
  </si>
  <si>
    <t>Base de datos donde se consta el tiempo de asistencia
certificado de pago expedido por la ACDVPR firmado por el Alto Consejero</t>
  </si>
  <si>
    <t>Corresponde a las actividades que realiza el equipo de sistemas para realizar mejoras al sistema AVANTI, con ocasión de las mejoras solicitadas por las entidades.</t>
  </si>
  <si>
    <t>Corresponde a las entidades que solicitan medias de acreditación (usuarios y contraseñas) para acceder al sistema VIVANTO desarrollado por la AURIV</t>
  </si>
  <si>
    <t>Corresponde a las solicitudes de servicio tecnico, que ocasional las fallas o errores del Sistema SIGO que administra la oferta distrital de servicios.</t>
  </si>
  <si>
    <t>Corresponde a las personas que son valoradas por la ACDVPR atraves del sistema SIVIC, para acceder al otorgamiento de ayuda humanitaria.</t>
  </si>
  <si>
    <t>Implementar Plan de Comunicaciones de los servicios y las acciones que desarrolla la Secretaría General.</t>
  </si>
  <si>
    <t>Definir y establecer las acciones de la vigencia que cada dependencia de la Secretaría General necesite divulgar.</t>
  </si>
  <si>
    <t>Se elaboró el plan 2020 para la Gestión de apoyo a la Implementación del ERP Distrital BogData de la Secretaría Distrital de Hacienda en las demás entidades del Distrito.</t>
  </si>
  <si>
    <t xml:space="preserve">Gestión Estrategía Implementación ERP: La Secretaría Distrital de Hacienda presentó el consolidado del inventario de Interoperabilidad con las Entidades Distritales y se validó con la alta Consejería Distrital de TIC, el cuadro del estado actual de las entidades distritales, con el fin de establecer avance en la integración de cada entidad al BOGDATA y se laboró el correspondiente Informe de Gestión del mes.
Se adelantaron reuniones con SDH y la ACDTIC, así como sesión plenaria con los miembros de la Comisión Distrital de Sistemas, entidades cabeza de sector y organismos del control del Distrito Capital, para mostrar el avance y coordinación acciones para la implementación del ERP en las entidades, Además, se adelantaron acciones de socialización con algunas entidades distritales (Secretarias de Gobierno, General, Jurídica y Veeduría) con el objeto de aclarar las dudas, retrasos y avances que se les ha presentado en el Proyecto BogData.  Y finalmente la Secretaría General adelanta el desarrollo de requerimientos para el reporte de Cuentas por pagar CXP nómina que sirva de modelo o piloto para otras Entidades Distritales.   Proyecto BogData. </t>
  </si>
  <si>
    <t>Gestión Estrategía Implementación ERP:
La ACDTIC en coordinación con la SDH, realizaron el consolidado del listado de funcionarios de cada entidad a quienes se les dictará entrenamiento del ERP BOGDATA, cuentas de usuarios a las cuales se les asignará licencia de acceso SAP y se identificó el inventario de equipos PC e impresoras desde donde las entidades accederán vía Internet al BogData.
El equipo del Proyecto BogData de la SDH, con el apoyo de la Alta Consejería Distrital TIC, realizaron reuniones presenciales y virtuales con las entidades distritales que han enviado los archivos de Pago de Nómina, OP, CXP con el fin de validar la subida a Bogdata y las necesidades que se han presentado en relación con los extractores, de igual manera se realizaron reuniones con las entidades que a la fecha no han enviado ninguna información. Entidades reunidas: Personería de Bogotá, Secretarías de Seguridad, Hábitat, Mujer, Cultura, Instituto de Investigación Educativa y Desarrollo IDEP, Orqueta Filarmónica de Bogotá, Universidad Distrital, Instituto de Recreación y Deportes, Fundación Gilberto álzate Abendaño, UAE Bomberos. Servicio Civil. 
Se realizó el informe de Gestión de implementación de la Entidades al ERP BOGDATA con su cuadro de estado por entidades, UNIVERSO DE ENTIDADES : 88,  módulos a integrar (Presupuesto, Tesorería, Contabilidad y Terceros), en cuanto al avance que han realizado las entidades frente a las PLANTILLAS DE PRESUPUESTO: Total 5 entidades, avance = 14%. PLANTILLAS DE TESORERIA: Total 28 Entidades, Entidades que han enviado información=6, avance = 26%. PLANTILLAS EXTRACTORES (Reportes): total 9 Entiades (son las entidades que tenían convenio con SI Capital que manejaban el Export), entidades que han enviado información= 5, avance = 17%. MODULO DE CONTABLIDAD: Se realizará la instalación del agente SAP-BPC en los clientes 88 entidades, se realizarán pruebas con Planeación, DADEP, General y Catastro, se están resolviendo temas de conexión y MODULO DE TERCEROS: Se enviaron las plantillas de terceros a todas las entidades, cuando BogData esté en producción las entidades las envíen a la SDH - Dirección Distrital de Contabilidad con el fin de crearlos.</t>
  </si>
  <si>
    <t>Gestión estratégica de Implementación del ERP: Se logró la elaboración del informe de gestión del Convenio 4130000-642 de 2017 donde se registran las acciones adelantadas por la SDH y la SGRAL, para articular acciones que permitan a las entidades distritales la integración con el ERP que implementa la SDH, informe remitido a la Dirección de Contratación, con radicado 3-2020-11201.
La ACDTIC y la SDH, realizaron reuniones virtuales con las entidades  a las que se les presentó el proyecto ERP BogData, dando a conocer cómo se deben interconectar con los módulos de Presupuesto, Tesorería, Consolidados de Contabilidad y Terceros, explica de manera general la parte presupuestal, el módulo de Tesorería deberán usar plantillas y las operaciones que se debe tener en cuenta para su equivalencia en SAP, según procedimiento publicado en la página web de la SDH en la pestaña BogData, http://www.shd.gov.co/shd/bogdata. Las entidades participantes:  Secretaría Jurídica Distrital y Secretaría de la Mujer. De otra parte, mediante correo electrónico se ha requerido a las entidades el avance del desarrollo de archivos planos según las Plantillas de CXP (Proveedores – Nómina) establecidas por la SDH y se mantiene actualizado el cuadro Excel con el avance de estado de entidades frente a la Integración BogData.</t>
  </si>
  <si>
    <t>Gestión estratégica de Implementación del ERP: Durante el periodo los Supervisores de los Convenios 4130000-642 y 4130000-663 de 2017 validaron las obligaciones específicas de los convenios, con sus avances y actividades desarrolladas, para ello se elaboraron los informes de gestión  por cada convenio y remitidos a la Dirección de Contratación con radicados 3-2020-11200 Convenio 642 de 2017 y 3-2020-11202 Convenio 663 de 2017.
La SDH informó que la fecha de salida en vivo es el 6 de julio de 2020, por ello a inicio de junio se enviará un comunicado por parte del Secretario General de la SDH a las entidades, para que las entidades se preparen oportunamente y retomen la logística requerida.  
La ACDTIC en coordinación con la SDH, ha reiterado desde el correo institucional de la Consejería, a los directores Corporativos de las entidades que no lo han hecho, la solicitud de remitir a la SDH el listado de  funcionarios de cada entidad a quienes se les dictará entrenamiento del ERP BOGDATA y asignación de la cuenta de usuario a las cuales se les asignará licencia de acceso SAP, permitiendo actualizar dicho inventario de recurso humano y del inventario de equipos PC e impresoras desde donde las entidades accederán vía Internet a BogData. 
El equipo del Proyecto BogData de la SDH, con el apoyo de la Consejería TIC, realizaron reuniones virtuales con las entidades distritales impartiendo instrucciones y resolviendo dudas para el diligenciamiento de los archivos, según plantillas, para la interoperabilidad de las cuentas por pagar Nómina, Ordenes de Pago, con el fin de validar la subida al ERP BogData, con las siguientes entidades: Secretaría Distrital de Integración Social, UAE Bomberos, Instituto para la Investigación Educativa y el Desarrollo Pedagógico IDEP, Instituto para la Economía Social IPES, Instituto Distrital de Protección y Bienestar Animal, Secretaría de Gobierno y Jardín Botánico y el  Instituto Distrital de Recreación y Deporte IDRD. De igual manera, con el equipo de la SDH y la Consejería TIC se actualizó el consolidado del cuadro Excel con el avance de estado de entidades frente a la Integración BogData.</t>
  </si>
  <si>
    <t>No se presentaron retrasos en el periodo</t>
  </si>
  <si>
    <t xml:space="preserve">Gestión Estrategía Implementación ERP:
Beneficios: 
Disponer de un plan que permita gestionar el apoyo de la implementación del ERP BogData basado en SAP de la Secretaría Distrital de Hacienda – SDH y </t>
  </si>
  <si>
    <t xml:space="preserve">Gestión Estrategía Implementación ERP:
Gestionar el apoyo de la implementación del ERP BogData basado en SAP de la Secretaría Distrital de Hacienda – SDH y facilitar la integración de las Entidades Distritales a dicha solución atendiendo los lineamientos y plantillas definidas por la SDH. </t>
  </si>
  <si>
    <t xml:space="preserve">Gestión y promoción  Estrategia de Implementación ERP:
Gestionar el apoyo de la implementación del ERP BogData basado en SAP de la Secretaría Distrital de Hacienda – SDH y facilitar la integración de las Entidades Distritales a dicha solución atendiendo los lineamientos y plantillas definidas por la SDH. </t>
  </si>
  <si>
    <t>Gestión y promoción  Estrategia de Implementación ERP:
Gestionar el apoyo de la implementación del ERP BogData basado en SAP de la SDH y facilitar la integración de las Entidades Distritales a dicha solución atendiendo los lineamientos y plantillas definidas por la SDH. Asimismo, se ha logrado mantener actualizado el avance de las diferentes entidades para poder contar con información oportuna y de calidad que permita reaccionar eficazmente ante cualquier eventualidad.</t>
  </si>
  <si>
    <t>Gestión y promoción  Estrategia de Implementación ERP:
Se articulan acciones en conjunto con la SDH, con el fin de integrar el ERP BogData de la SDH a los sistemas de las entidades distritales que gestionan la información administrativa y financiera de tal manera que todas las acciones realizadas permitan la salida en vivo el 6 de julio del presente como se mencionó previamente. Asimismo, se ha logrado mantener actualizado el avance de las diferentes entidades para poder contar con información oportuna y de calidad que permita reaccionar eficazmente ante cualquier eventualidad.</t>
  </si>
  <si>
    <t>Al 25 de marzo de 2020 en la plataforma de datos abiertos de Bogotá, se contabilizan 1023 conjuntos de datos publicados provenientes de 55 entidades distritales. La URL de acceso es: https://datosabiertos.bogota.gov.co/</t>
  </si>
  <si>
    <t>Al 31 de mayo de 2020 en la plataforma de datos abiertos de Bogotá, se contabilizan 1206 conjuntos de datos publicados provenientes de 55 entidades distritales. La URL de acceso es: https://datosabiertos.bogota.gov.co/</t>
  </si>
  <si>
    <t>Con la divulgación de los conjuntos de datos a la ciudadanía en general, se permite que cualquier persona pueda usarlos con fines investigativos, emprendimiento e innovación, entre otros. De igual forma, permiten ver la gestión y transparencia de las Entidades Distritales.</t>
  </si>
  <si>
    <t>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enero de 2020 con el fin de cumplir con el pago de garantías, se expidió Certificación de pago reconociendo 25 apoyos de transporte y 11 apoyos compensatorios con lo cual se dio pago a 36 garantías de participación correspondientes al mes de diciembre de 2019.</t>
  </si>
  <si>
    <t>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asi que durante el mes de febrero se realizó el pago de un total de 251 garantías a la participación correspondientes al mes de enero. Los pagos están distribuidos en 110 apoyos compensatorios , 117 apoyos de transporte a los delegados y delegadas de los espacios de participación, correspondiente a asistencia a las sesiones del mes de enero, 11 Apoyos compensatorios y 13 apoyos de transporte a delegados que se bancanrizaron durante el mes de enero, con pagos pendientes por asistencia a sesiones de los meses de octubre, noviembre y diciembre de 2019.</t>
  </si>
  <si>
    <t>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así que durante el mes de marzo, se realizó el pago de 563 apoyos de garantías a la participación, distribuidos en 273 pagos de apoyo compensatorio y 290 pagos de apoyo de transporte.</t>
  </si>
  <si>
    <t>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así que durante el mes de abril, se realizó el pago de 541 apoyos de garantías a la participación, distribuidos en 259 pagos de apoyo compensatorio y 282 pagos de apoyo de transporte.</t>
  </si>
  <si>
    <t>No fueron reconocidas garantias.</t>
  </si>
  <si>
    <t>No se presentó ningún retraso</t>
  </si>
  <si>
    <t>No se presentan retratos pero si dificultades dado que a la fecha hay miembros de Mesas sin bancarizar, por lo cual no se realiza el pago de 32 garantías.</t>
  </si>
  <si>
    <t>No se presentan retratos pero si dificultades dado que a la fecha hay miembros de Mesas sin bancarizar, por lo cual no se realiza el pago de 19 garantías.</t>
  </si>
  <si>
    <t>Se presentó dificultad en la efectividad de pagos de apoyos compensatorios, todavez, que la normatividad emitida por la Entidad, no contempló las sesiones virtuales respecto de los requisitos de pago, se emitió una Resolución que contempla una forma alternativa de dar cumplimiento a los mismos, motivo por el cual se realizará el pago en el mes de junio.</t>
  </si>
  <si>
    <t>Participación de Delegados y delegadas titulares de 8 Mesas Locales, de la Mesa Distrital, de la Mesas de Enfoque Diferencial afro e Indígena,  Representantes escogidos por las mesas al CDJT y una sesión del comité ejecutivo de la mesa distrital recibieron garantías a la participación atendiendo a su asistencia a los distintos espacios.</t>
  </si>
  <si>
    <t>Se logra la participación activa de las victimas en la generación de politica de victimas, asi como el seguimiento a la misma.</t>
  </si>
  <si>
    <t>Se beneficia a Miembros de los 24 espacios de participación contemplados en el Decreto 512 de 2019</t>
  </si>
  <si>
    <t>En el mes de abril se benefició a Representantes de 15 Mesas Locales, 1 Mesa Distrital y las 3 de Enfoque Diferencial, adicionalmente al comité Ejecutivo de Mesa Distrital y a los participantes del espacio ampliado.</t>
  </si>
  <si>
    <t>Para el mes de enero no se programaron actividades</t>
  </si>
  <si>
    <t xml:space="preserve">Durante el mes de febrero de 2020, se construyó el modelo de procesos de negocios, donde se describen los pasos a seguir para que una entidad distrital cargue masivamente en el sistema Avanti, sus respectivos seguimientos PAD.
1. Se socializaron los siguientes documentos con la nueva persona encargada de la administración funcional del sistema Avanti:
    1.1. Modelo de contexto del sistema
    1.2. Modelo de procesos de negocio para cargar seguimientos masivamente
    1.3. Estructura del acompañamiento técnico a entidades SDARIV
2. Se activaron las cuentas de usuario de las personas responsables por entidad en el ambiente de pruebas del sistema, de manera que el nuevo administrador funcional del sistema probara el cargue de los seguimientos de las entidades SDARIV. 
3. Posteriormente, se realizaron las respectivas adecuaciones a los archivos y proceder a cargar al ambiente de producción del sistema.
</t>
  </si>
  <si>
    <t>Durante el mes de marzo de 2020, se inicio la construcción de nuevas funcionalidades, adecuando otras ya existentes en el sistema, de manera que se pueda adaptar a la inclusión de nuevas entidades que adquieran compromisos en el marco de la Política Pública de Víctimas. La intención es que si una o mas entidades ingresan al sistema en un corte específico, los cortes anteriores no se vean afectados respecto al avance en el cumplimento en la meta PAD, ni en el avance presupuestal, ni en ninguna otra cifra.
En tal sentido, en cada una de las pantallas del sistema con acceso de cara al ciudadano, se realizaron las siguientes actividades:
1. Adecuación en la sección de Metas PAD por componente en la vigencia de la página principal, donde se ajustó el conteo de metas PAD y el respectivo presupuesto aprobado por componente.
2. Adecuación en la gráfica Cumplimiento Meta PAD en la vigencia, donde se ajustó el cálculo del %, teniendo en cuenta nuevas entidades ingresadas.
- Adecuación en la gráfica Presupuesto PAD Plurianual de la página principal, donde se creó el cálculo automático de las series de la gráfica: Actualización aprobada por CDJT, Vigente y Ejecutado en cada una de las vigencias.
3. Adecuación del tablero de control por entidad, donde se ajustaron el conteo de metas PAD, el % de cumplimiento PAD, se agregó el % de cumplimiento de participación en PAD con base en el presupuesto aprobado, así como el presupuesto vigente y ejecutado. Adicionalmente, se ajustó la forma de calcular el avance en el cumplimiento de las metas PAD de manera histórica en una vigencia, así como el respectivo avance presupuestal histórico en la misma vigencia.
4. Adecuación del tablero de control por componente, donde se ajustaron el conteo de metas PAD, el % de cumplimiento PAD, se agregó el % de cumplimiento de participación en PAD con base en el presupuesto aprobado, así como el presupuesto vigente y ejecutado. Adicionalmente, se agregaron las gráficas de avance en el cumplimiento de las metas PAD de manera histórica en una vigencia, así como el respectivo avance presupuestal histórico en la misma vigencia.
5. Adecuación de la Vista por componentes en la vigencia, donde se ajustó el conteo de las metas PAD y el respectivo presupuesto aprobado por componente.
Cabe aclarar que todas las adecuaciones mencionadas incluyen ajustes, modificaciones y/o creaciones:
- En las consultas HQL y SQL utilizadas en la capa de acceso a datos de la arquitectura, 
- En la lógica utilizada en la capa de servicios de negocio de la arquitectura.
- En los métodos utilizados en los beans manejados de la capa de presentación de la arquitectura.</t>
  </si>
  <si>
    <t xml:space="preserve">Durante el mes de abril se migro funcionalidades del sistema a la nueva arquitectura toda vez que el sistema se pensó inicialmente para brindar soporte a las 18 entidades que hacían parte del SDARIV en la vigencia 2017, por ello fue necesario rediseñar la arquitectura del sistema Avanti para que soportara la inclusión de nuevas entidades sin que se afecten las cifras reportadas en cortes de vigencias anteriores. 
En este mes se alcanzaron a completar las siguientes funcionalidades en el nivel de acceso público para cada una de las capas de la arquitectura:
1. Cumplimiento Meta PAD por vigencia.
2. Metas PAD por componente en vigencia
3. Mapa distrital con entidades SDARIV.
4. Presupuesto PAD Plurianual
A grandes rasgos el sistema se dividió en dos componentes:
1. Componente Back-en
En este componente se crearon las consultas SQL necesarias para extraer información de la base de datos, así como reestructuraciones en la lógica de negocio y controladores REST para exponer la funcionalidad vía protocolo HTTP. Para este componente se utilizó el siguiente stack de tecnologías:
- Spring Framework
- Rest Controllers
- FasterXML / Jackson
- Hibérnate
- PostgreSQL
2. Componente Front-en
En este componente se crearon las páginas con su respectivo controlador en typescript, así como los componentes reutilizables, pipes de datos y servicios para conectar con el componente back-en. Para este componente se utilizó el siguiente stack de tecnologías:
- Angular
- Highcharts
- Componentes
- Pipes
- Services
- Interfaces"
</t>
  </si>
  <si>
    <t xml:space="preserve">Durante el mes de mayo de 2020, se ha alcanzaron a completar las siguientes funcionalidades en el nivel de acceso público para cada una de las capas de la arquitectura:
1. Página inicial - Cumplimiento Meta PAD por vigencia.
2. Página inicial - Metas PAD por componente en vigencia.
3. Página inicial - Mapa distrital con entidades SDARIV.
4. Página inicial - Presupuesto PAD Plurianual.
5. Página Datos Abiertos - Búsqueda de datos abiertos por palabra clave en el nombre del archivo.
6. Página Datos Abiertos - Búsqueda de datos abiertos por entidad.
7. Página Datos Abiertos - Búsqueda de datos abiertos por componentes.
8. Página Tablero de control de entidad - Avance físico cumplimiento meta PAD.
9. Página Tablero de control de entidad - Avance presupuestal cumplimiento meta PAD.
10. Página Tablero de control de entidad - Datos abiertos de entidad por componente.
11. Página Metas PAD por entidad - Listado de metas
12. Página Metas PAD por entidad - Ficha técnica de meta seleccionada
13. Página Tablero de control de componente - Avance físico cumplimiento meta PAD.
14. Página Tablero de control de componente - Avance presupuestal cumplimiento meta PAD.
15. Página Tablero de control de componente - Datos abiertos de entidad por componente.
16. Página Metas PAD por componente - Listado de metas
17. Página Metas PAD por componente - Ficha técnica de meta seleccionada
Cabe aclarar que los cambios mencionados anteriormente en el sistema Avanti se encuentran en un ambiente de pruebas. 
</t>
  </si>
  <si>
    <t>Con la inducción al nuevo adrministrador del sistema se da continuidad a ejecución de la herramienta y se garantiza que el administrador pueda dar respuesta a las peticiones de los usuarios externos que hacen uso de ella.</t>
  </si>
  <si>
    <t>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t>
  </si>
  <si>
    <t>Se logra la ampliació del sistema para que brinde soporte a mas entidades y pueda seguir creciendo como sistema administrador de componentes de la politica de victimas.</t>
  </si>
  <si>
    <t>En el mes de enero se gestionaron solicitudes de creación y/o activación a 33 usuarios Vivanto, 23 solicitudes de SDIS,  1 solicitud de SDS, 9 solicitudes de ACDVPR.</t>
  </si>
  <si>
    <t>No se recibieron solicitudes de creación de usuarios, ni asistencias técnicas.</t>
  </si>
  <si>
    <t>En el mes de abril se gestionaron solicitudes de creación y/o activación a 3 usuarios de la UARIV</t>
  </si>
  <si>
    <t>En el mes de mayo se gestionaron solicitudes de creación y/o activación a 4 usuarios de la UARIV para acceso al Vivanto, en los formatos para la creación y/o actualización de las cuentas de cada persona.
Adicionalmente, se mantiene actualizada la bitácora de gestión de usuarios para el Sistema Vivanto.</t>
  </si>
  <si>
    <t>Estas acciones permiten a las entidades conocer la oferta distrital para la atención a víctimas del conflicto armado en el DC.</t>
  </si>
  <si>
    <t>Se actualizo la matriz de usuarios de VIVANTO</t>
  </si>
  <si>
    <t>No se presenta solicitudes por parte de las entidades  Distritales.</t>
  </si>
  <si>
    <t>No se presenta retraso dado que este acompañamiento es realizado a demanda de las entidades.</t>
  </si>
  <si>
    <t xml:space="preserve">Para el mes de enero de 2020, se evaluaron 1001 personas con los criterios de otorgamiento de ayuda humanitaria inmediata.
De estas personas 26 personas presentaron alguna discapacidad, mientras que 975 personas no presentaron ningún tipo de discapacidad.
</t>
  </si>
  <si>
    <t xml:space="preserve">Para el mes de febrero de 2020, se evaluaron 1.533 personas con los criterios de otorgamiento de ayuda humanitaria inmediata.
De las 1.533 personas evaluadas con los criterios de otorgamiento de Ayuda Humanitaria Inmediata - AHI, 724 corresponde a hombres, 807 mujeres y 2 personas que se reconocen como intersexuales. De estas personas, 29 personas presentaron alguna discapacidad, mientras que 1.504 personas no presentaron ningún tipo de discapacidad.
</t>
  </si>
  <si>
    <t xml:space="preserve">Para el mes de marzo de 2020, se evaluaron 1.262 personas con los criterios de otorgamiento de ayuda humanitaria inmediata.
De las 1.262 personas evaluadas con los criterios de otorgamiento de Ayuda Humanitaria Inmediata - AHI, 619 corresponde a hombres, 642 mujeres y 1 personas que se reconocen como intersexuales. De estas personas, 20 personas presentaron alguna discapacidad, mientras que 1.242 personas no presentaron ningún tipo de discapacidad.
</t>
  </si>
  <si>
    <t xml:space="preserve">Para el mes de abril de 2020, se evaluaron 1.225 personas con los criterios de otorgamiento de ayuda humanitaria inmediata.
De las 1.225 personas evaluadas con los criterios de otorgamiento de Ayuda Humanitaria Inmediata - AHI, 588 corresponde a hombres, 636 mujeres y 1 personas que se reconocen como intersexuales. De estas personas, 21 personas presentaron alguna discapacidad, mientras que 1.204 personas no presentaron ningún tipo de discapacidad. Por grupo etario , 514 corresponde a niños-adolecentes, 681 adultos, 28 adultos mayores y 2 sin información. 
</t>
  </si>
  <si>
    <t xml:space="preserve">Para el mes de mayo de 2020, se evaluaron 473 personas con los criterios de otorgamiento de ayuda humanitaria inmediata.
De las 473 personas evaluadas con los criterios de otorgamiento de Ayuda Humanitaria Inmediata - AHI, 239 corresponde a hombres, 234 mujeres. De esta población, 9 personas presentaron alguna discapacidad, mientras que 464 personas no presentaron ningún tipo de discapacidad. Por grupo etario , 187 corresponde a niños-adolecentes, 276 adultos, 7 adultos mayores y 3 sin información. 
</t>
  </si>
  <si>
    <t xml:space="preserve">Dada la situación de emergencia sanitaria, no se ha logrado realizar la valoración a la población debido a que los CLAV se encuentran cerrados a razón de la contingencia del COVID-19.
Se presentan dificultades para cumplir la acción correspondiente a las contrarreferencias, teniendo en cuenta que, por el cambio de administración y la organización de esta, no se contaba con los enlaces de las otras instituciones para realizar este proceso. 
</t>
  </si>
  <si>
    <t>Permite tener trazabilidad de atención de las personas víctimas en estado de vulnerabilidad</t>
  </si>
  <si>
    <t>La Oficina Consejería de Comunicaciones de la Secretaria General diseño, elaboró y divulgó la campaña interna para el 08 de marzo en el marco del “Día internacional por los derechos de las mujeres”, realizando un recorrido turístico por la candelaria dando a conocer el legado de las mujeres que tuvieron trascendencia en la historia de Bogotá, muestra fotográfica frente al palacio Liévano “Miradas de Mujer”, entre otras actividades.</t>
  </si>
  <si>
    <t>Para este mes la Oficina Consejería de Comunicaciones desarrolló la campaña interna denominada “Teletrabajo” dirigida a todos los servidores y contratistas de la entidad, con el fin de Afianzar el autocuidado, pero también su nuevo entorno de trabajo y actividades familiares (clases de los hijos virtuales, cuidado de adultos mayores, mascotas y teletrabajo, etc), mediante la divulgación de una cartilla de tips para el trabajo en casa, y divulgando un álbum fotográfico donde los servidores aportaron fotografías en su entorno de trabajo en casa.</t>
  </si>
  <si>
    <t>En el mes de mayo se desarrolló la campaña interna “Semana ambiental virtual en tiempos de COVID 19” cuyo objetivo es promover la adopción de prácticas sostenibles en la oficina y en el hogar para consumir recursos de manera responsable con el medio ambiente y con las generaciones futuras.</t>
  </si>
  <si>
    <t>En el mes de Junio, la Oficina Consejería de Comunicaciones desarrolló la campaña denominada "La Alegría de Leer" del Archivo de Bogotá, dando apoyo a la difusión en el nuevo lanzamiento de esta  exposición a través de canales internos.</t>
  </si>
  <si>
    <t>Para este periodo no se generaron retrasos o dificultades ya que se cumplió con la programación realizada.</t>
  </si>
  <si>
    <t>Enaltecer las acciones colectivas de las mujeres por condiciones de vida digna y justas en el trabajo y en la sociedad.</t>
  </si>
  <si>
    <t>Que Servidores y Contratistas de la Secretaría General sientan que son importantes para la entidad y que, aunque se está trabajando en casa se deben valorar los momentos en familia y con los integrantes del núcleo familiar .</t>
  </si>
  <si>
    <t xml:space="preserve">El derecho constitucional a gozar de un ambiente sano y la promoción del cuidado del medio ambiente y la salud en el desarrollo de nuestras actividades. </t>
  </si>
  <si>
    <t>Dar a conocer cómo era la enseñanza primaria en la primera década del siglo XX.</t>
  </si>
  <si>
    <t xml:space="preserve">Por medio de acciones programadas se contribuye al cumplimiento del plan de trabajo del Consejo Distrital de Archivos de Bogotá de conformidad  con  las funciones que normativamente le han sido asignadas para ejecutarlas y hacer seguimiento a las mismas, con el fin de orientar la gestión de la política archivística en el Distrito Capital. </t>
  </si>
  <si>
    <t>1. Realizar informe semestral  del Consejo Distrital de Archivos para remitir al Archivo General de la Nación.
2.Realizar las sesiones del Consejo Distrital de Archivos.</t>
  </si>
  <si>
    <t>Memorando al Archivo General de la Nación del Informe de gestión del segundo semestre del año 2019 del Consejo Distrital de Archivos D.C. y Actas del Consejo Distrital de Archivos suscritas y publicadas.</t>
  </si>
  <si>
    <t>Aplicar la herramienta para medir el grado de satisfacción de la ciudadanía.</t>
  </si>
  <si>
    <t>Informe mensual de resultados de la medición de la encuesta de satisfacción a la ciudadania.</t>
  </si>
  <si>
    <t>Aplicar la herramienta para medir el grado de satisfacción de las entidades distritales.</t>
  </si>
  <si>
    <t>Informe mensual de resultados de la medición de la encuesta de satisfacción a las entidades distritales.</t>
  </si>
  <si>
    <t>1. Análisis y evaluación de solicitudes o iniciativas de relacionamiento internacional
2. Ejecución de la acción de relacionamiento internacional</t>
  </si>
  <si>
    <t xml:space="preserve">Informe de Gestión de las diferentes acciones a su cierre y según corresponda diferentes documentos generados de acuerdo con el desarrollo de la misma </t>
  </si>
  <si>
    <t>1. Evaluación de asistencia técnica a brindar a sectores y entidades.
2. Prestar asesoría y acompañamiento técnico en el desarrollo de la acción establecida</t>
  </si>
  <si>
    <t>1. Evaluación de la acción de proyección y posicionamiento Internacional
2. Ejecución de la acción  de proyección y posicionamiento Internacional</t>
  </si>
  <si>
    <t>El informe da cuenta de las acciones estrategicas lideradas  por la Subsecretaría Técnica con sus dependencias para el cumplimiento de los objetivos misionales en el desarrollo, la eficiencia y la innovación institucional,así como el relacionamiento internacional, la gestión documental,  la articulación interinstitucional a nivel Distrital y el liderazgo en los asuntos laborales en el marco de la negociación sindical.</t>
  </si>
  <si>
    <t>*Líneamientos, estrategias y productos.
* Asistencia a instancias.
* Hitos de la dependencia y sus áreas
* Desarrollo de informes, actas o registros.
* Relacionamiento internacional</t>
  </si>
  <si>
    <t>Consolidar y documentar la gestión y lineamientos estrategicos impartidos por la Subsecretaria Técnica hacia las dependencias , así como reflejar su participación en otras instancias o escenarios que por las funciones del cargo o por delegación de la Secretaria General ha realizado la dependencia.</t>
  </si>
  <si>
    <t>Actas.
Actos administrativos
Reporte presupuestal.
Listados de Asistencia.
Presentaciones.
Memorandos.
Informe Técnico.</t>
  </si>
  <si>
    <t xml:space="preserve">Producto:     
 *Se elaboró y remitió al Archivo General de la Nación el informe de gestión del segundo semestre del año 2019 del Consejo Distrital de Archivos de Bogotá, D.C. por medio de la comunicación de radicado 2-2020-380 del 8 de enero del 2020.      
   Gestión:  
  *El dia 22 de enero se realizó la primera sesión del Consejo Distrital de Archivos de Bogotá, D.C. la cual quedó suspendida porque no se alcanzó a cubrir el orden del día en su totalidad en el tiempo citado.
*Se elaboró el plan de trabajo del Consejo Distrital de Archivos de Bogotá, D.C. para la vigencia 2020, el cual fue aprobado provisionalmente en la sesión mencionada.                                                                                                                                                                </t>
  </si>
  <si>
    <t xml:space="preserve">                     Gestión:               
 Durante el mes se remitió el plan de trabajo del Consejo Distrital de Archivos de Bogotá, D.C. al Archivo General de la Nación por medio de la comunicación de radicado 2-2020-2869 del 5 de febrero.                                                              </t>
  </si>
  <si>
    <t xml:space="preserve">                                                                                                                                                    Gestión:                   
  El día 6 de marzo se dió continuación y finalización de la primera sesión de CDA  que comenzó en el mes de enero de forma presencial y se continuo de manera virtual por medio de  correo electrónico.</t>
  </si>
  <si>
    <t>Gestión: 
Durante este periodo se realizó la segunda sesión ordinaria del Consejo Distrital de Archivos de Bogotá, D.C. el 30 de abril. La sesión se realizó de manera virtual por el aplicativo Teams.</t>
  </si>
  <si>
    <r>
      <t xml:space="preserve">Producto:
 Se suscribió y publicó el acta de la primera sesión del Consejo Distrital de Archivos de Bogotá, D.C. en la página web de la Secretaria General de la Alcaldía Mayor de Bogotá, D.C.   http://archivobogota.secretariageneral.gov.co/sites/default/files/documentos-cda/Acta-primera-CDA-2020.pdf   
Gestión:
El 29 de mayo se realizó la tercera sesión del Consejo Distrital de Archivos de Bogotá, D.C. en la cual se evaluaron las TRD de Contraloría, SDH, SDE , IDARTES, Secretaría de Tercer Milenio y SDM </t>
    </r>
    <r>
      <rPr>
        <sz val="11"/>
        <color theme="1"/>
        <rFont val="Calibri"/>
        <family val="2"/>
        <scheme val="minor"/>
      </rPr>
      <t xml:space="preserve"> El acta de esta sesión se proyectará el mes de junio de 2020.
</t>
    </r>
  </si>
  <si>
    <t>Producto:
Se suscribió y publicó el acta de la segunda sesión del Consejo Distrital de Archivos de Bogotá, D.C. en la página web de la Secretaria General de la Alcaldía Mayor de Bogotá, D.C., en siguiente link:   http://archivobogota.secretariageneral.gov.co/sites/default/files/documentos-cda/Acta-segunda-CDA-2020.pdf</t>
  </si>
  <si>
    <t>No fue posible terminar la sesión del Consejo de este mes, por lo que su continuación quedó  programada via correo electronico para el mes de marzo 2020.</t>
  </si>
  <si>
    <t xml:space="preserve"> La continuación de la primera sesión del Consejo Distrital de Archivos de Bogotá se realizó de manera virtual,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           </t>
  </si>
  <si>
    <t>*La aprobación del plan de trabajo permitirá su implementación a lo largo de la vigencia y el cumplimiento de la misionalidad del Consejo Distrital de Archivos.
*La Dirección Distrital de Archivo de Bogotá, dio cumplimiento con el informe semestral del año 2019 del Consejo Distrital de Archivos.</t>
  </si>
  <si>
    <t>Se oficializa y socializa el  plan de trabajo ante el Archivo General de la Nación las acciones que el Consejo emprenderá durante la vigencia con la Dirección Distrital de Archivo de Bogotá como secretaría técnica.</t>
  </si>
  <si>
    <t>Con la finalización de la primera sesión del Consejo de manera virtual se podrá oficializar la convalidación de las Tablas de Retención Documental -TRD y las Tablas de Valoración Documental -TVD que contaron con visto bueno de los miembros, junto con el Acta que se encuentra en revisión, esto permirá a estas entidades hacer el registro de sus tablas ante el Archivo General de la Nación e iniciar su implementación.</t>
  </si>
  <si>
    <t>La realización de la segunda sesión del Consejo Distrital de Archivos de Bogotá, D.C. permitió presentar los avances de ejecución del primer trimestre del plan de acción del Consejo y convalidar la actualización de la Tabla de Retención Documental -TRD de la Secretaría Distrital de Cultura, Recreación y Deporte</t>
  </si>
  <si>
    <t>La ciudadanía puede acceder a la publicación del Acta del Consejo Distrital de Archivos de Bogotá D.C. de acuerdo con la obligación contenida en el artículo 5 del Decreto Distrital 329 de 2019, dando así cumplimiento al acceso a la información por medio de la publicación de la misma, mediante el link: http://archivobogota.secretariageneral.gov.co/sites/default/files/documentos-cda/Acta-primera-CDA-2020.pdf</t>
  </si>
  <si>
    <t>La ciudadanía puede acceder a la publicación del Acta del Consejo Distrital de Archivos de Bogotá D.C. de acuerdo con la obligación contenida en el artículo 5 del Decreto Distrital 329 de 2019, dando así cumplimiento al acceso a la información por medio de la publicación de la misma, mediante el link: http://archivobogota.secretariageneral.gov.co/sites/default/files/documentos-cda/Acta-segunda-CDA-2020.pdf</t>
  </si>
  <si>
    <t xml:space="preserve">Producto: 
 En el mes de enero se atendió en Sala de Investigadores a 269 usuarios y se aplicaron encuestas de satisfacción a 63 personas atendidas, las cuales arrojaron que el grado de satisfacción de atención a los ciudadanos para el mes de enero fue del 98%.  
 Gestión:
Se radicó memorando 3-2020-2901 a la Oficina de Tecnologías de la información y las comunicaciones OTIC que contiene las necesidades en materia de elementos informáticos  por parte de la Dirección Distrital de Archivo de Bogotá a fin de facilitar las herramientas para prestar un mejor servicio en la sala de investigadores.  </t>
  </si>
  <si>
    <t xml:space="preserve"> En el mes de febrero se atendió en Sala de Investigadores a 386 usuarios y se aplicaron 55  encuestas de satisfacción a personas atendidas, las cuales permitieron evidenciar que el grado de satisfacción de atención a los ciudadanos para el mes de febrero fue del 95%. </t>
  </si>
  <si>
    <t xml:space="preserve"> En el mes de marzo se atendió en Sala de Investigadores a 203 personas y se aplicaron encuestas de satisfacción a 34 personas atendidas. Lo que permitió evidenciar que el grado de satisfacción de atención a los ciudadanos para el mes de Marzo fue del 97%. </t>
  </si>
  <si>
    <t>La Sala de investigadores se encuentra fuera de servicio,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t>
  </si>
  <si>
    <t>La Sala de investigadores se encuentra fuera de servicio,teniendo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t>
  </si>
  <si>
    <t>La Sala de investigadores se encuentra fuera de servicio,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t>
  </si>
  <si>
    <t xml:space="preserve">Aunque se alcanzó el grado de satisfacción del 98% los usuarios manifestaron que los equipos de cómputo con los que cuenta la sala de investigadores son lentos y con frecuencia dejan de presentar la información consultada. Por lo anterior se procedió a enviar memorando 3-2020-2901 a la Oficina de Tecnologías de la información y las comunicaciones OTIC el cual contiene las necesidades en materia de elementos informáticos  por parte de la Dirección Distrital de Archivo de Bogotá a fin de facilitar las herramientas para prestar un mejor servicio en la sala de investigadores.   </t>
  </si>
  <si>
    <t xml:space="preserve"> El grado de satisfacción bajó tres puntos respecto al mes de enero que estaba en el 98% pasando a 95% para el mes de febrero, situación presentada debido a la necesidad de  mejorar el desempeño de los equipos de cómputo teniendo en cuenta que son lentos y con frecuencia dejan de presentar la información consultada, para ello a finales del mes de enero se envió el memorando de necesidades de elementos informáticos por parte de la Dirección Distrital de Archivo de Bogotá.</t>
  </si>
  <si>
    <t>Mediante memorando 3-2020-9969 se informó a la Oficina Asesora de Planeación que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2020”,la atención al público en la sala de investigadores fue suspendida desde el día 20 de Marzo, por lo cual la información reportada corresponde al periodo entre el 1 y el   19 de marzo, toda vez que luego de esta fecha  la Sala de investigadores tuvo que cerrar la atención a la ciudadanía. Lo anterior afectará el resultado del indicador grado de satisfacción de la ciudadanía frente a los servicios prestados por el Archivo Distrital para los meses de marzo, abril, mayo y junio.</t>
  </si>
  <si>
    <t>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t>
  </si>
  <si>
    <t>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t>
  </si>
  <si>
    <t xml:space="preserve">Durante el mes de enero de 2020 se observó el aumento de consultas de las series: libros de parroquias, Colección Arquidiócesis de Bogotá, así como, de la serie Historias Clínicas de los Hospitales San Juan de Dios y Materno Infantil (Liquidados). </t>
  </si>
  <si>
    <t xml:space="preserve">Durante el mes de febrero de 2020 se incrementó en 100 unidades el número de usuarios atendidos en la sala de investigación, respecto al mes de enero de 2020, lo cual indica que la ciudadanía cada vez más requiere de nuestros servicios y así mismo amplian su conocimiento frente a la ciudad de Bogotá.  </t>
  </si>
  <si>
    <t xml:space="preserve">Durante el marzo 2020, pese la presente contingencia se incrementó en 2 puntos del grado de satisfacción  de usuarios atendidos en la sala de investigación,lo cual indica que la ciudadanía cada vez está más conforme con los servicios de conocimiento y amabilidad que presenta el Archivo de Bogotá.  </t>
  </si>
  <si>
    <t xml:space="preserve"> En el mes de enero se aplicaron cinco (5) encuestas arrojando un porcentaje de satisfacción del 100 %. Las encuestas se distribuyeron en asistencias técnicas dadas a las siguientes entidades: EAAB, Aguas de Bogotá, ERU e IDT. Como resultado de la aplicación de las encuestas se realizó el informe correspondiente al mes de enero.   </t>
  </si>
  <si>
    <t xml:space="preserve">En el mes de febrero se aplicaron once (11) encuestas arrojando un porcentaje de satisfacción del 95%. Las encuestas se distribuyeron en asistencias técnicas dadas a las siguientes entidades: IPES, Aguas de Bogotá, DADEP, Canal Capital, IDPYBA, EAAB, FONCEP y Lotería de Bogotá. Como resultado de la aplicación de las encuestas se realizó el informe correspondiente al mes de febrero.                                                                                              
</t>
  </si>
  <si>
    <t xml:space="preserve">  En el mes de marzo se aplicaron diecíseis (16) encuestas de satisfacción correspondiente a mesas de trabajo y una jornada de socialización, arrojando un porcentaje de satisfacción del 98%. Estas encuestas se aplicaron a las siguientes entidades: Aguas de Bogota, Empresa Metro, Instituto Distrital de Turismo, Loteria de Bogotá, Secretaría Distrital de Ambiente, Secretaría Distrital de Movilidad, Secretaría Distrital de la Mujer, Secretaría Distrital de Seguridad Convivencia y Justicia, Subred Suroccidente, Veeduria e IDIPYBA. Como resultado de la aplicación de las encuestas se realizó el informe correspondiente al mes de marzo.
</t>
  </si>
  <si>
    <t>En el  mes de abril se aplicaron veintiún (21) encuestas de satisfacción, las cuales corresponden al desarrollo de diez (10) mesas de trabajo por oferta y  once (11) mesas de trabajo por demanda, arrojando un porcentaje de satisfacción del 98%, Estas encuestas se aplicaron a las siguientes entidades: Instituto Distrital de la Artes (IDARTES), Secretaría de Educación del Distrito (SED), Instituto Distrital de Patrimonio Cultural (IDPC), Secretaría Distrital de Movilidad (SDM), Instituto de Desarrollo Urbano (IDU), Empresa de Acueducto y Alcantarillado de Bogotá (EAAB), Instituto para la Economía Social (IPES), Secretaría Distrital de Salud (SDS), Departamento Administrativo de Defensoría del Espacio Público, (DADEP) Instituto Distrital de la Participación y Acción Comunal (IDPAC), Terminal de Transportes, Transmilenio, Secretaría de Integración Social (SDIS), Subred Integrada de Salud Sur, Subred Integrada de Salud Sur Occidente, Subred Integrada de Servicios de Salud Norte, Subred Integrada de Centro Oriente, Metro, Capital Salud y  Empresa de Renovación Urbana (ERU)
 Como resultado de la aplicación de las encuestas se realizó el informe correspondiente al mes de abril.</t>
  </si>
  <si>
    <t>En el mes de mayo se aplicaron diecinueve (19) encuestas de satisfacción, que corresponden al mismo número de mesas de trabajo: 10 por oferta y 9 por demanda, arrojando un porcentaje de satisfacción del 98%, éstas encuestas se aplicaron a las siguientes entidades: IDARTES, IDRIPON, SDS, SDP, SDA, Terminal, Concejo, SDE, IDRD, IDCBIS, EAAB, FUGA, UMV, Veeduría, IDT, Capital Salud y  SDIS.
Como resultado de la aplicación de las encuestas se realizó el informe correspondiente al mes de mayo.</t>
  </si>
  <si>
    <t>En el mes de junio se aplicaron treinta y dos (32) encuestas de satisfacción, las cuales corresponden al mismo número de mesas de trabajo, diez (10) mesas de trabajo por oferta y veintídos (22) mesas de trabajo por demanda, arrojando un porcentaje de satisfacción del 97%. Estas encuestas se aplicaron a las siguientes entidades: Secretaría Distrital de Ambiente, Empresa de Transporte del Tercer Milenio -Transmilenio, Canal Capital, Instituto para la Economía Social -IPES, Secretaría Distrital de Movilidad, Secretaría Distrital de Planeación, Universidad Distrital Francisco José de Caldas, Secretaría Distrital de Salud, Entidad Asesora de Gestión Administrativa y Técnica -EAGAT, La Terminal de Transporte S.A, Instituto de Desarrollo Urbano -IDU, Instituto Distrital de las Artes -IDARTES, Empresa de Acueducto y Alcantarillado de Bogotá -EAAB, Caja de Vivienda Popular -CVP, Unidad Administrativa Especial de Rehabilitación y Mantenimiento Vial -UAERMV, Secretaría Distrital de Seguridad, Convivencia y Justicia, Instituto Distrital de Protección y Bienestar Animal -IDPYBA, Secretaría de Cultura, Recreación y Deporte, Secretaría de Integración Social, Secretaría General de la Alcaldía Mayor de Bogotá, Secretaría Distrital de Hacienda y Departamento Administrativo de la Defensoría del Espacio Público-DADEP.                            Como resultado de la aplicación de las encuestas se realizó el informe correspondiente al mes de junio.</t>
  </si>
  <si>
    <t xml:space="preserve"> Se identificó particularmente en las asistencias dadas al IDPYBA, toda vez que en un mismo momento se aplicaron varias encuestas en diferentes mesas de trabajo, para lo cual se tomarán los correctivos necesarios para mejorar lo pertinente teniendo en cuenta las fortalezas y las oportunidades de mejora del servicio.            </t>
  </si>
  <si>
    <t xml:space="preserve">Se evidencia que el indicador bajó con relación a los meses anteriores, lo cual indica que para el mes de junio no se logró cumplir con la meta establecida que es del 98%. Lo anterior, se da teniendo en cuenta que varias entidades distritales calificaron con un valor de 7 u 8, especialmente en la pregunta No. 6: “¿El contenido del material dispuesto por los profesionales (talleres, normatividad, presentaciones, otros) fue el adecuado para el desarrollo de la asistencia técnica?”. Este resultado obedece a la situación de pandemia ocasionada por el COVID-19, las medidas de aislamiento preventivo obligatorio y la priorización del trabajo en casa, ocasionando, problemas de conectividad, dificultando el desarrollo de las mesas de trabajo de asistencia técnica de manera virtual y por ende visualizar el contenido.  Así las cosas, al interior del equipo se está evaluando la implementación de una estrategia que logré mejorar el nivel de satisfacción en este aspecto.
</t>
  </si>
  <si>
    <t>La aplicación de las encuestas tiene como beneficio la medición de la calidad del servicio prestado a las entidades. En este caso se obtuvo  la mejor calificación posible.</t>
  </si>
  <si>
    <t>La aplicación de las encuestas tiene como beneficio la medición de la calidad del servicio prestado a las entidad.alcanzando un porcentaje satisfactorio del 95%.</t>
  </si>
  <si>
    <t xml:space="preserve">La aplicación de las encuestas tiene como beneficio la medición de la calidad del servicio prestado a las entidades. En este caso el servicio mejoró en relación con el mes pasado y permitió apoyar criterios temáticos para la realización de acciones de asistencia técnica por oferta, generando estrategias de acompañamiento de acuerdo con el grado de interés manifestado por las entidades distritales, las cuales nacen de las necesidades identificadas, problemas, retos en temas de gestión documental y archivos, y de la función archivística. </t>
  </si>
  <si>
    <t xml:space="preserve">La aplicación de las encuestas tiene como beneficio la medición de la calidad del servicio prestado a las entidades. En este caso el servicio se mantuvo en relación con el mes pasado y permitió apoyar criterios temáticos para la realización de acciones de asistencia técnica por oferta, en temas como Tabla de Retención Documental (TRD), Tabla de Valoración Documental (TVD), Sistema Integrado de Conservación (SIC) y Banco Terminológico (BT), Intervención de fondo documental acumulado, elaboración de inventarios para el desarrollo de los procesos de la gestión documental y ajustes en las fichas técnicas a los procesos de contratación relacionados con los temas de gestión documental y archivos. </t>
  </si>
  <si>
    <t>El resultado de estas acciones ha sido el acompañamiento técnico a las entidades en la elaboración e implementación de sus instrumentos archivísticos, Tabla de Retención Documental (TRD), Sistema Integrado de Conservación (SIC) , Banco Terminológico (BT) y ajustes en las fichas y/o anexos técnicos a los procesos de contratación relacionados con los temas de gestión documental y archivos. Como resultado también se indetificó que las tres necesidades técnicas y administrativas más importantes son: Tabla de Control de Acceso, Banco Terminológico y SIC: Plan de Presenvación Digital.</t>
  </si>
  <si>
    <t>Se evidencia que alcanzamos el máximo nivel de satisfacción para los siguientes aspectos: El conocimiento de los profesionales frente a los diferentes temas desarrollados, los conceptos emitidos fueron claros y las asistencias técnicas fueron correctamente orientadas y enfocadas,  logrando así que las entidades distritales solucionaran sus dudas técnicas frente a las diferentes temáticas brindadas y éstas sean implementadas al interior de las entidades para mejorar la gestión documental y archivística.</t>
  </si>
  <si>
    <t xml:space="preserve">Las acciones específicas dan inicio en el mes de febrero
</t>
  </si>
  <si>
    <t>A continuación se realcionan los avances de las siguientes acciones:
1. Reunión Alcaldesa de Bogota – Alcaldesa de Barcelona – PlayGround Media:
Con el fin de abrir  una relación Bogota-Barcelona es de gran interés para esta administración ya que pretende apostar  por una colaboración en varios frentes con esta ciudad,PlayGround un medio de comunicación virtual internacional con intermediación de la DDRI, invita a las alcaldesas de estas dos ciudades, propiciando la ocasión para este diálogo, a grabar un documento audiovisual desde ambos puntos de vista: Bogota y Barcelona, para generar un video viral de internet.
Para esto la DDRI realizó la siguiente gestión:
- Gestion de la invitación
- Investigacion sobre la pertinencia
- Elaboracion del concepto
- Coordinación interinstitucional de la aprobacion del documento requerido por el medio para el uso de las imágenes.
- Coordinación interinstitucional para la realización de un ensayo y la recepción del equipo de playGround en despacho.
- Preparación de la ficha para la alcaldesa. 
Esta acción se reportará en el mes de junio con la consolidación del informe final de la acción.
2. Participación del Distrito en la celebración de  fiesta tradicional Tu Bishvat Comunidad judia colegio hebreo 
Se Recibió invitación de la Embajada de isarel para acompañarlos en la celebración de su fiesta tradicional Tu Bishvat que conmemora el solsticio y llegada de la primavera en un festejo que celebra la naturaleza y el cuidado del medio ambiente.
Se acompañó a la comunidad judía de bogota en su celebración tradicional. Apoyando el mensaje ambiental y sostenible de dicha fecha. Incentivando estas actividades en los colegios de la ciudad para educar a las generaciones futuras sobre esta urgente consideración con el planeta. Para esto la DDRI realizó:
- Gestión de la invitación ante despacho de la alcaldesa y despacho de la Secretaría de Ambiente.
- Coordinación y confirmación de los asistentes ante la embajada de Israel.
-  Acompañamiento y presencia en el evento.
Informe por consolidar y cierre en el mes de junio</t>
  </si>
  <si>
    <t>Para el mes de marzo se reportan la siguiente acción:
1. Postulación al Steerring Comitee de C40:
C40,  organización internacional de ciudades comprometidas en la lucha contra el cambio climático y la generación de una acción urbana que reduzca las emisiones de gases de efecto de invernadero y los riesgos climáticos, invitó a la Alcaldesa Claudia López a ser parte del Comité Directivo de esta red para la región de América Latina.
El periodo de postulaciones y elección se dio entre se concretó en marzo de 2020.
 Gestión realizada por la DDRI
Estuvo a cargo de la DDRI el acompañamiento de la postulación de la Alcaldesa Claudia López al Comité Directivo de C40. Esto incluyó:
•Análisis de la oportunidad y estrategia de ser parte o no del Comité Directivo de C40.
•Elaboración de la carta de interés para la postulación de la Alcadesa Claudia López.
•Interlocución con C40 en el proceso de postulación y elección de la Alcaldesa Claudia López en el Comité Directivo de C40.
Informe final para consolidación y cierre en el mes de junio</t>
  </si>
  <si>
    <t>Se avanzó en la siguiente acció:
1. Participación en Webinar de Metrópolis: "Internacionalización y espacios metropolitanos"
El 3 de abril de 2020, se realizó el seminario "Internacionalización y espacios metropolitanos". Organizado por Metrópolis en colaboración con la Alianza Eurolatinoamericana de Cooperación entre Ciudades AL-Las.
A la reunión fueron invitadas las oficinas de relaciones internacionales de Bogotá, Ciudad de México y el Área Metropolitana de Barcelona.
El evento estuvo dirigido a funcionarios de los gobiernos locales (oficinas de relaciones internacionales), tomadores de decisiones, estudiantes e investigadores de relaciones internacionales.
Gestión realizada por la DDRI:
Estuvo a cargo de la DDRI la preparación y realización de la presentación de la Estrategia de Internacional de la ciudad de Bogotá en el seminario web.
Estrategia divulgación en redes sociales de la participación de la Dirección en esta reunión internacional.
Informe en consolidación para reprotar en junio.</t>
  </si>
  <si>
    <t>A continuación se reportan avances de la siguiente acción:
1. Conversaciones de alto nivel entre alcaldes de C40 para discutir gestión a la crisis COVID-19:
Desde el 28 de marzo hasta el 18 de mayo se han realizado 4 llamadas entre Alcaldes donde se trataron diversos temas dentro de los que se encuentran: cómo las ciudades están enfrentando la pandemia, la recuperación económica de las ciudades, y sobre la reapertura gradual de las ciudades.
Gestión realizada por la DDRI:
28 de marzo 2020 Reunión entre alcaldes para discutir cómo las ciudades están enfrentando la pandemia
*Participación a cargo de la DDRI
3 de abril 2020 Reunión entre alcaldes para discutir cómo las ciudades están enfrentando la pandemia.
*Participación de la Secretaría Distrital de Desarrollo Económico
15 de abril 2020 Llamada con el Alcalde de Los Ángeles y el Alcalde de Milán y  presentación del Profesor Vernon Lee, Director de Enfermedades Contagiosas de Singapur. 
*Participación de la Secretaría de Ambiente.
6 de mayo 2020 WebinarC40 sobre la reapertura gradual de las ciudades
Informe final para consolidación y cierre en el mes de junio</t>
  </si>
  <si>
    <t>Para el mes de junio se consolidó el informe de gestión final de las acciones de relacionamiento adelantadas en los meses anteriores, las cuales se relacionan a continuación:
1. Reunión Alcaldesa de Bogota – Alcaldesa de Barcelona – PlayGround Media
2. Participación del Distrito en la celebración de  fiesta tradicional Tu Bishvat Comunidad judia colegio hebreo
3. Postulación al Steerring Comitee de C40
4. Participación en Webinar de Metrópolis
5. Conversaciones de alto nivel entre alcaldes de C40 para discutir gestión a la crisis COVID-19</t>
  </si>
  <si>
    <t>No se reportaron retrasos ni dificultades en la gestión</t>
  </si>
  <si>
    <t>1. Reunión Alcaldesa de Bogota – Alcaldesa de Barcelona – PlayGround Media
Participar en la ocasión propuesta por PlayGround abrió el camino a una comunicación personal entre las alcaldesas de Bogotáy Barcelona de manera agil y fluida. En el aspecto de difusión, el video tuvo buena acogida en internet, obtuvo un nivel de exposición importante sobre todo entre el publico joven. A grandes rasgos el ejercico fue positivo
2. Participación del Distrito en la celebración de  fiesta tradicional Tu Bishvat Comunidad judia colegio hebreo.
Se encuentra en Isreal un aliado estratégico para el logro del objetivo número dos del Plan de desarrollo, logrando que el embajador expresarA su deseo de apoyar a la alcaldesa en los temas ambientales para la ciudad de Bogotá.</t>
  </si>
  <si>
    <t>1. Postulación al Steerring Comitee de C40:
El principal resultado de este relacionamiento estratégico internacional fue la elección de la Alcaldesa Claudia López como Vicepresidente del Comité Directivo de C40 para la región de América Latina. Ser miembro de este órgano rector es una herramienta de importante relevancia pues la ciudad de Bogotá podrá participar en la dirección estratégica de esta red mundial que representa a más de 700 millones de ciudadanos y un cuarto de la economía mundial.
Asimismo, este es un importante reconocimiento al compromiso de la ciudad en la lucha contra el cambio climático. También, este nombramiento implica una responsabilidad y desafío para la ciudad en ser ejemplo a nivel mundial por sus acciones sostenibles y resilientes, siendo una firme defensora del Acuerdo de París</t>
  </si>
  <si>
    <t>1. Participación en Webinar de Metrópolis: "Internacionalización y espacios metropolitanos"
El seminario web fue una oportunidad para enfatizar el liderazgo de la ciudad de Bogotá en su accionar internacional a nivel regional. Esto, teniendo en cuenta que la sesión web reunió a funcionarios públicos, profesionales e investigadores de 16 espacios urbanos pertenecientes a Metrópolis: Ciudad de Barcelona y Área Metropolitana, Belo Horizonte, Bruselas, Buenos Aires, Ciudad de México, Córdoba, Guadalajara, La Paz, Madrid, Medellín, Montevideo, Porto Alegre, San Salvador y Valle de Aburrá.
Asimismo, este espacio le ha brindado a la Alcaldía de Bogotá una oportunidad única para aprender sobre lecciones y experiencias aprendidas de otros gobiernos locales en sus estrategias de internacionalización.</t>
  </si>
  <si>
    <t>Estas llamadas le han brindado a la administración distrital una oportunidad única para aprender sobre lecciones y experiencias aprendidas de numerosos gobiernos locales del mundo, fortaleciendo el proceso de toma de decisiones en la atención a la pandemia por el COVID19.
Teniendo en cuenta la participación de la Alcaldesa en el Comité Directivo de C40 y la participación de la Alcaldía en estas llamadas, le ha permitido a la Administración Distrital posicionarse en el escenario internacional como ciudad líder en la protección al medio ambiente, durante y post crisis COVID19.</t>
  </si>
  <si>
    <t>Beneficios reportados en los meses anteriores.</t>
  </si>
  <si>
    <t>Se avanzó en la siguiente acción:
1. Acompañamiento a la Secretaría de Cultura en la Comixta con Jamaica:
Kingston, Jamaica, es una ciudad reconocida por la consolidación de una identidad en la que el arte y la cultura cumplen un rol fundamental. Por esto Kingston fue declarada por UNESCO como Ciudad Creativa de la Música en 2015, al igual que hace parte de la Red Global de Distritos Culturales (Global Cultural Districts Network: GCDN).}
En este sentido, para la ciudad de Bogotá es de vital importancia contar con la asistencia técnica para la consolidación de modelos de operación, sostenibilidad económica y social, y programación artística en el espacio público.
Este proyecto es una comisión mixta de cooperación entre Bogotá y Kingston sobre asuntos del sector cultural. Está en el interés de ambos países aprender del otro y fomentar el intercambio de conocimiento. Ambos países se encuentran en capacidad de ofrecer asistencia técnica valiosa para el otro. Enesta asistencia técnica la DDRI apoyó con la siguiente gestión:
- Identificar la oportunidad de postulación a este ejercicio de asistencia técnica en doble vía.
- Comunicar oportunamente a la Secretaria de Cultura.
- Apoyar la comunicación entre SCRD y APC Colombia.
- Facilitar la comunicación entre SCRD y la agregada cultural de la Embajada de Jamaica en Bogotá.
- Revisar la propuesta de postulación.
Informe final para consolidación y cierre en el mes de junio</t>
  </si>
  <si>
    <t>En el mes de marzo seavanzó en las siguientes acciones:
1. Visita de la Empresa Pública de Movilidad de Ecuador para conocer buena práctica de movilidad:
La Empresa Pública de Movilidad (EPM) de la ciudad de Ibarra de la República de Ecuador solicitó a la DDRI la coordinación de una reunión con motivo de la visita programada que tenían del 4 al 7 de marzo en la Ciudad de Bogotá para conocer los programas de convivencia a través de la Cultura Ciudadana específicamente en el área de la movilidad. Para lo cual la DDRI realizó la siguiente gestión:
- Coordinación para la adjudicación del programa y/o proyecto de cooperación o relacionamiento estratégico internacional
- Se acompañó en todo momento el proceso de intercambio de saberes, y facilitó el encuentro y la comunicación.
Informe en construcción para reprotar en junio
2. Construcción del poyecto para presentar a la subvención de la Comisión Europea "Autoridades locales: asociaciones por unas ciudades sostenibles 2020" con la ACPDV - 
En marzo de 2020, Mariana Flores Mayen, Directora Ejecutiva de Representación Institucional de la Jefatura de Gobierno de la Ciudad México, invita a la ciudad de Bogotá a participar en la convocatoria de la Comisión Europea sobre "Autoridades locales: asociaciones por unas ciudades sostenibles 2020". 
Desde la Dirección Distrital de Relaciones Internacionales se revisó el concepto original del proyecto y términos de referencia. Mediante comunicación oficial se presenta el proyecto a la Alta Consejería para los Derechos de las Víctimas, la Paz y la Reconciliación – ACDVPR. Se coordina con la ACDVPR la formulación y presentación del proyecto.
Informe final para consolidación y cierre en el mes de junio</t>
  </si>
  <si>
    <t>En el mes de abril se avanzó en la siguiente acción:
1. Articulación de los sectores de la alcaldía de Bogotá para gestionar donaciones para el programa Bogotá Solidaria en Casa
La Alcaldía Mayor de Bogotá creó el Sistema Distrital Bogotá Solidaria en Casa con el fin de atender la contingencia social y económica de Bogotá derivada del COVID-19. Este sistema busca apoyar a más de 350 mil hogares pobres y vulnerables de la ciudad.
A la DDRI se le asignó la coordinación de campaña de donaciones y la articulación de las entidades del distrito con el fin de recaudar recursos en dinero y en especie de empresas y organismos internacionales.
- La Dirección Distrital de Relaciones Internacionales DDRI gestiona las donaciones en dinero y en especie con empresas del sector privado. 
-  Las otras entidades distritales involucradas en la gestión de donaciones reportan las en una matriz a la DDRI para su consolidación y visibilización. 
- La DDRI luego le hace seguimiento a cada entidad con el fin de asegurarse que:
•Cada donación sea sustentada con los soportes correspondientes.
•Cada empresa envíe los logos y que reciban el reconocimiento y visibilidad en la página web, si así lo desean. Esto se hace de manera articulada con el equipo de comunicaciones del Distrito.
•Las empresas reciban una carta firmada por la alcaldesa como agradecimiento 
Informe final para consolidación y cierre en el mes de junio</t>
  </si>
  <si>
    <t>Durante el mes de mayo se avanzó en las siguientes acciones:
1. Acompañamiento a la secretaría de Movilidad en el proyecto de cooperación técnica de VISA -
El objetivo de la propuesta comercial de VISA es el de generar un Sistema de Recaudo Integrando pagos abiertos, transformando la tecnología actual que utiliza la tarjeta Tu Llave Plus (LG CNS)  con tarjetas de contacto del sistema bancario (Tecnología TBD). Para generar una red de pagos global en el sistema integrado de Transporte. 
Se organizó la reunión con Secretaría de Movilidad y Transmilenio para que VISA pudiera realizar la presentación de la propuesta comercial.  A esta reunión asistieron por parte de VISA:  Juan F. Schultze (Director de Asuntos con el Gobierno), Aída Esteban Millat (Directora de Movilidad Urbana de Latinoamérica); Diego Noreña (Movilidad Urbana); Humberto Guihur (Country Manager para la Oficina de Colombia).  Por parte de la Secretaría de Movilidad participaron: Sebastián Velásquez (Director de Planeación de la Secretaría de Movilidad); Jerson Carrillo (Director de Tecnología de Transmilenio); Jorge Torres (Asesor de la Oficina de Tic de Transmilenio); Nathaly Melo (Asesora Dirección de TIC de Transmilenio) y Liliana Diago (Profesional Especializado de la Subdirección de Proyección Internacional de la Alcaldía). 
Informe final para consolidación y cierre en el mes de junio
2. Presentación de proyectos como aliados a la Convocatoria de Bienes Públicos Regionales del BID -
La iniciativa Bienes Públicos Regionales del BID financia soluciones conjuntas a desafíos de desarrollo compartidos a través de la cooperación regional.
El 8 de mayo, la Prefeitura de la Ciudad de São Paulo invitó a la Alcaldía de Bogotá a unirse a la convocatoria de Bienes Públicos Regionales a través de la propuesta de proyecto “La recuperación económica de los trabajadores “invisibles” en América Latina, a través de la Secretaría Distrital de Integración Social. 
Gestión realizada por la DDRI:
- Gestión realizada para la adjudicación del programa y/o proyecto de cooperación o relacionamiento estratégico internacional.
- Revisar el concepto de oferta de cooperación. Mediante comunicación oficial presenta el proyecto de cooperación a la Secretaría Distrital de integración Social. 
- Acompañar la construcción de la participación distrital en el proyecto de cooperación. 
Informe final para consolidación y cierre en el mes de junio</t>
  </si>
  <si>
    <t>Para el mes de junio se consolidó el informe de gestión final de las asesorías y asistencias técnicas adelantadas en los meses anteriores, las cuales se relacionan a continuación:
1. Acompañamiento a la Secretaría de Cultura en la Comixta con Jamaica
2. Visita de la Empresa Pública de Movilidad de Ecuador para conocer buena práctica de movilidad
3.  Construcción del poyecto para presentar a la subvención de la Comisión Europea "Autoridades locales: asociaciones por unas ciudades sostenibles 2020" con la ACPDV
4. Articulación de los sectores de la alcaldía de Bogotá para gestionar donaciones para el programa Bogotá Solidaria en Casa
5. Acompañamiento a la secretaría de Movilidad en el proyecto de cooperación técnica de VISA
6. Presentación de proyectos como aliados a la Convocatoria de Bienes Públicos Regionales del BID</t>
  </si>
  <si>
    <t>1. Acompañamiento a la Secretaría de Cultura en la Comixta con Jamaica:
Como resultado de la gestión se logró que el proyecto fuera elegido para su realización, con lo cual se logrará el intercambio bilateral para generar un entorno propicio para el desarrollo económico, social y cultural de Bogotá, a través de la consolidación, fomento y sostenibilidad de Distritos Creativos; asi como también, para enriquecer la implementación de metodologías de medición económica de la cultura y la creatividad en Jamaica.</t>
  </si>
  <si>
    <t xml:space="preserve">1. Visita de la Empresa Pública de Movilidad de Ecuador para conocer buena práctica de movilidad: 
Bogotá salió fortalecida al demostrar su posición de liderazgo en el tema. Esto propicia proyección de la ciudad puesto que los visitantes de Ecuador aspiran que esta cooperación se mantenga de manera que ellos logren fortalecer sus instituciones en beneficio de sus conciudadanos.
2. Construcción del poyecto para presentar a la subvención de la Comisión Europea "Autoridades locales: asociaciones por unas ciudades sostenibles 2020" con la ACPDV - 
El proyecto busca mejorar las capacidades institucionales y administrativas de las ciudades y sus autoridades locales en torno a la promoción y el fortalecimiento de una paz sostenible; reforzar el diálogo político y sus desafíos urbanos en todos los niveles de decisión y desde una perspectiva multi actor; fortalecer los mecanismos de consulta, coordinación y cooperación entre los sectores público privado, la sociedad civil y otras partes interesadas en el proceso de toma de decisiones y la obtención de resultados en materia de paz, convivencia, igualdad e inclusión social y, mejorar las capacidades de las ciudades y las autoridades locales para concebir y aplicar políticas públicas integradoras en torno a ciudades en paz
</t>
  </si>
  <si>
    <t>1.  Articulación de los sectores de la alcaldía de Bogotá para gestionar donaciones para el programa Bogotá Solidaria en Casa:
Gracias a la labor de coordinación de la DDRI, y al trabajo de todas las entidades distritales que se unieron al proyecto, esta iniciativa se convirtió en la campaña para recaudar donaciones en un solo día más exitosa en la historia de Colombia, al haber logrado recaudar más de 51 mil millones de pesos, con aportes de 36.771 ciudadanos y más de 130 empresas, fundaciones y gobiernos extranjeros, anunciadas en un lapso de 12 horas consecutivas.</t>
  </si>
  <si>
    <t>1. Acompañamiento a la secretaría de Movilidad en el proyecto de cooperación técnica de VISA -Se cumplió el objetivo de articular a Visa con la Secretaría de Movilidad y de Transmilenio, y se enfatizó que las propuestas comerciales en ningún caso comprometen a estas entidades a ninguna toma de decisiones al respecto. 
2. Presentación de proyectos como aliados a la Convocatoria de Bienes Públicos Regionales del BID - 
El proyecto de cooperación “La recuperación económica de los trabajadores invisibles en América Latina” espera lograr tres resultados: 1) Recopilación de datos; 2) Estudio de los trabajadores invisibles; 3) Recomendaciones de política y 4) Documento de buenas prácticas.</t>
  </si>
  <si>
    <t>Beneficios reportados en los meses anteriores</t>
  </si>
  <si>
    <t>Se avanzó en las siguientes acciones:
1. Participación CGLU - TANGER:
CGLU, organiza anualmente un retiro que ofrece una oportunidad para que las partes clave de CGLU, así como sus socios, definan sinergias y desarrollen acciones en línea con los planes de trabajo.
En 2020, el Retiro Anual de CGLU, tuvo lugar del 24 al 29 de febrero en Tánger Marruecos. La Directora Distrital de Relaciones Internacionales, Luz Amparo Medina Gerena, participó en el evento el día.
Gestión realizada por la DDRI:
Durante esta reunión se realizaron diversas reuniones bilaterales dentro de las que se encuentran:
- Reunión Bilateral con CGLU. En la reunión participó Emilia Saiz, Secretaria General de CGLU. El objetivo fue explorar posibles áreas de trabajo en conjunto entre la red y Bogotá. 
- Reunión Bilateral con CIDEU. En la reunión participó Rosa Arlene María, Directora Ejecutiva de CIDEU. Se expusieron las prioridades de cada organización y se exploró la posibilidad de postulación de la Alcaldía de Bogotá a la vicepresidencia de CIDEU para el periodo 2020-2022 y presidencia del 2022-2024.  
- Reunión Bilateral con AL-Las. En la reunión participó Paola Arjona, Directora Técnica de la Alianza Euro Latinoamericana de Cooperación entre Ciudades (AL-Las). Se presentó a grandes rasgos la red. Se señaló que es una red que tiene como misión fortalecer las relaciones internacionales de los gobiernos locales de América Latina y Europa, sus redes y asociaciones para mejorar la calidad de sus políticas públicas y desarrollo territorial.
- Se estableció contacto con Sarah Hoflish la encargada de CGLU Aprende, con quien se están explorando posibles acciones de interés para Bogotá.
Informe final para consolidación y cierre en el mes de junio
2. Participación UCCI - MADRID - 
Desde la Unión de Ciudades Capitales Iberoamericanas- UCCI, red  ciudades de la que Bogotá hace parte, invitaron a la ciudad de Bogotá a participar en el 14º Encuentro de Directores de Relaciones Internacionales y Coordinadores de la .UCCI. Cada año se reúnen los Directores de Relaciones Internacionales y Coordinadores de la UCCI de las ciudades miembro para planear las actividades del año y realizar un balance del año anterior.
Por su parte, la Directora Distrital de Relaciones Internacionales, Luz Amparo Medina como Coordinadora UCCI en Bogotá, participó en el encuentro que se realizó del 20 al 22 de febrero de 2020, en Madrid, España.
Gestión realizada por la DDRI:
- Durante la reunión se contribuyó a la construcción del Estrategia de la UCCI 2020-2024.
- Durante el viaje a Madrid se realizaron dos reuniones bilaterales:
- Reunión Bilateral con la Embajada de Colombia en España (Madrid, España): Durante la reunión, se conversó sobre dos temas en particular; el consorcio de transportes y la gestión de residuos sólidos de Madrid. 
- Reunión Bilateral con la Dirección de Cooperación y Ciudadanía Global de Madrid (Madrid, España): tuvo como objetivo intercambiar ideas frente a potenciales oportunidades de cooperación entre el Distrito y Madrid. A la reunión asistió Cecilio Cerdán Carbonero, Director General de Cooperación y Ciudadanía Global. 
Informe final para consolidación y cierre en el mes de junio</t>
  </si>
  <si>
    <t xml:space="preserve">Informes de las acciones en consolidación </t>
  </si>
  <si>
    <t>Para el mes de junio se consolidó el informe de gestión final de las dos acciones ejecutadas, las cuales se relacionan a continuación::
1. Participación CGLU - TANGER
2. Participación UCCI - MADRID</t>
  </si>
  <si>
    <t xml:space="preserve">1. La participación de la Alcaldía de Bogotá en este evento, le brindó a la administración distrital la posibilidad de potenciar su posicionamiento en el escenario internacional. Específicamente, el Retiro fue una oportunidad de impulsar las conexiones con las diferentes partes del ecosistema de CGLU.  
Asimismo, es importante resaltar que se trató de un evento de alto nivel con potencial directo de posicionamiento internacional y que respondió al interés de la Alcaldesa Claudia López de posicionar a Bogotá en esta red. 
2. Participación UCCI - MADRID
La participación de la Alcaldía de Bogotá en este evento, le brindó a la administración distrital la posibilidad de incidir en la elaboración de la Estrategia de la UCCI 2020.2024. Así como del fortalecimiento de las relaciones con las demás ciudades capitales iberoamericanas que participaron durante la reunión.
Por otro lado, se lograron fortalecer las relaciones bilaterales con la Dirección de Cooperación y Ciudadanía Global de la ciudad de Madrid y con la Embajada de Colombia en España. </t>
  </si>
  <si>
    <t>Beneficios reportados en el mes de febrero.</t>
  </si>
  <si>
    <t xml:space="preserve">La aplicaciòn de encuestas se realizarà en el mes de Junio de acuerdo a la programaciòn del Indicador. </t>
  </si>
  <si>
    <t>Se aplica encuesta de satisfacción del programa de formación Soy 10 Aprende, liderado por la Dirección y Subdirección Técnica de Desarrollo Institucional, correspondiente al primer semestre 2020 de los servidores que participaron en  la oferta académica desarrollada: 
Gobernanza pública, contextualización desde los pilares de transparencia, participación y colaboración
Teletrabajo para Servidores en Teletrabajo Extraordinario y Trabajo en Casa
Introducción a las Políticas Públicas: Conceptos Básicos
Cultura de Integridad para Gestores.</t>
  </si>
  <si>
    <t xml:space="preserve">Este indicador esta programado para el Mes de Junio. </t>
  </si>
  <si>
    <t xml:space="preserve">No se reportaron retrasos ni dificultades en la gestión de acompañamiento de oferta academica Soy10 Aprende. </t>
  </si>
  <si>
    <t>Como beneficios es importante resaltar que los encuestados, manifiestan que participarían nuevamente en procesos de formación Soy 10 Aprende para la siguiente vigencia, esto además de potencializar el programa, genera nuevos retos en lo que corresponde a plataforma tecnológica, gestión tutor, administración, material de estudio y soporte entre otras.</t>
  </si>
  <si>
    <t xml:space="preserve">Se aplica  encuesta de satisfacciòn frente a la Estrategia de Teletrabajo, dirigida a 53 entidades y
organismos del orden distrital en donde el Teletrabajo fue implementado con el apoyo,
acompañamiento y asistencia técnica por parte del Equipo Técnico de la Dirección Distrital de Desarrollo
Institucional, a cargo de la implementación de la Estrategia. </t>
  </si>
  <si>
    <t xml:space="preserve">No se reportaron retrasos ni dificultades en la gestión de acompañamiento de la Estrategia de Teletrabajo. </t>
  </si>
  <si>
    <t xml:space="preserve">las entidades y organismos distritales encuestados manifiestan su total satisfacción por el
pertinente y oportuno apoyo profesional que facilita la Dirección Distrital de Desarrollo Institucional de
la Secretaría General de la Alcaldía Mayor de Bogotá, en los diferentes momentos de Adopción,
Implementación y Seguimiento de la Estrategia de Teletrabajo pese a las circunstancias que vive la
ciudad por la emergencia sanitaria. </t>
  </si>
  <si>
    <t xml:space="preserve">La Subsecretaria Técnica en conjunto con sus dependencias durante el primer trimestre de 2020, centro su liderazgo y gestión en las siguientes acciones:
• Elaboración de un diagnóstico de desempeño sectorial tomando como fuente de información los datos de: empleo público (SIDEAP), índice de desempeño Institucional- FURAG, índice de transparencia por Bogotá- ITB, plan anticorrupción y atención al ciudadano- PAAC, Bogotá te escucha y PREDIS.
• Lineamientos para laa estrategia de formación virtual para servidores públicos del Distrito Capital: se ofertaron dos cursos de formación: gobernanza pública (868 inscritos) y líderes de la cultura de integridad (694 inscritos).
• Teletrabajo: Con ocasión a la declaratoria de emergencia decretada en el país, la Administración Distrital impartió lineamientos para la implementación de la estrategia del Teletrabajo Extraordinario a través de la Circular 024 de marzo/2020. Se efectuó seguimiento y acompañamiento a las entidades en la implementación y adopción del modelo. Se emitió una cartilla para los servidores del Distrito de “Tips de trabajo en casa”.
• Acciones de relacionamiento Internacional: Se participó en la instalación de la mesa directiva de Marca Ciudad cuyo objetivo fue sentar las bases del plan de acción de cara a la actual administración. De otra parte, se resalta la participación de la administración en el evento convocado por la red de ciudades- C40, que representa a más de 700 millones de ciudadanos y un cuarto de la economía mundial y en Wise Waste Cities Campaign (WWCC), posicionando a Bogotá como líder global en el cumplimiento de los ODS.
• Transparencia: Se efectuó seguimiento y se presentó a las entidades distritales el análisis del estado del arte y documentación de la Política Pública de Transparencia, Integridad y no Tolerancia con la corrupción. Se inició el desarrollo de la iniciativa “Presupuesto ciudadano” para mejorar la entrega de información al ciudadano.
• Innovación- iBO: Presentar a la “Convocatoria Internacional de proyectos LABIMEX” para “Accesibilidad y autonomía de personas con discapacidad” el proyecto de innovación “Teletrabajo: un camino a la inclusión laboral”.  Se desarrolló la propuesta de la estrategia de Innovación Pública en el Distrito – iBO.
• Estrategia Distrital de mi MIPG: Se hizo la identificación y análisis de brechas en la implementación del modelo. Definir la alineación estratégica con el nuevo PDD (2020-2024). Elaboración de la propuesta del plan marco para MIPG y definición de las acciones estratégicas para el cuatrienio.
• Negociación Sindical: La Subsecretaria Técnica fue designada como miembro principal de la mesa distrital de negociación, se elaboró el "Protocolo negociación colectiva - empleados públicos del Distrito Capital", un documento de lineamientos y aspectos normativos a observar durante el proceso de negociación por parte de las entidades del distrito, entre otras acciones.
• Participación de instancias: La Subsecretaria Técnica participó en las instancias a las que fue convocada como delegada de la Administración Distrital, a saber: Consejo Distrital de Archivo y Junta Directiva de Invest In Bogota, entre los más representativos.
• Gerencia Proyecto 1125: Se efectuaron actividades de direccionamiento y seguimiento al cumplimiento de las metas programadas en este proyecto de inversión para 2020.
</t>
  </si>
  <si>
    <t>La Subsecretaria Técnica en conjunto con sus dependencias durante el segundo trimestre de 2020 centró su liderazgo y gestión en las siguientes acciones:
• Diagnósticos de desempeño sectorial: Se coordinó la elaboración de presentaciones por sector de la administración en versión ejecutiva compilando el estado de los componentes del Tablero. Se realizó transferencia del conocimiento a la Dirección de Desarrollo Institucional con el fin de realizar socialización de los resultados con cada sector de la administración. 
• Formación virtual: Se realizó el ciclo académico en la Plataforma SOY 10 de los cursos de: Teletrabajo (1813 servidores aprobados); Introducción a las Políticas Públicas (286 servidores aprobados), Conceptualización de los Pilares de Transparencia, Integridad y Colaboración (334 servidores aprobados); Contextualización de los Pilares de Transparencia, Participación y Colaboración (554 servidores aprobados) y Supervisión de Contratación Estatal (366 servidores aprobados).
• Teletrabajo: Se llevó a cabo la socialización del Programa Teletrabajo y frente a los compromisos de la Política Pública Distrital de Gestión Integral de Talento Humano 2020 – 2030 y el Plan de Desarrollo Distrital 2020-2024 a las entidades distritales, se presentó la metodología de implementación. Así mismo, se aplicó y procesó los resultados de la encuesta “Yo me quedo en casa” realizada en los 15 sectores de la administración y a los órganos de control del Distrito. También se realizó un Facebook Live con el propósito de acercar más a la ciudadanía hacia las propuestas de trabajo desde casa en tiempos de COVID y finalmente se dispuso en la página web de la Secretaría General información de georreferenciación de los servidores del distrito con trabajo en casa y zonas críticas de contagio por COVID-19.
• Acciones de relacionamiento Internacional: DONATÓN BOGOTÁ SOLIDARIA EN CASA. Gracias a la labor de coordinación de la DDRI, y al trabajo de todas las entidades distritales que se unieron al proyecto de la Donatón, esta iniciativa se convirtió en la campaña más exitosa en la historia de Colombia en recaudar donaciones en un solo día, al haber logrado recaudar más de 51 mil millones de pesos, con aportes de 36.771 ciudadanos y más de 130 empresas, fundaciones y gobiernos extranjeros, en un lapso de 12 horas consecutivas.
• Transparencia: Se desarrollaron los análisis, observaciones y aportes en el tema de Transparencia, integridad y no tolerancia con la corrupción al documento de “Diagnóstico del plan de desarrollo 2020 – 2023”. Se consolidó la Estrategia de transparencia, integridad y lucha contra la corrupción a desarrollar en el Distrito Capital.
• Innovación- iBO: Se desarrolló el primer documento de acuerdos alrededor del Laboratorio de Innovación de Bogotá – iBO, que orienta las acciones de consolidación de esta iniciativa en el Plan Distrital de Desarrollo 2020 – 2023. Igualmente se avanzó en el prototipado de la estrategia de Presupuesto Ciudadano.
• Estrategia Distrital de mi MIPG:  Se acompañó en el segundo trimestre de la presente vigencia a la Dirección Distrital de Desarrollo Institucional, en su proceso de fortalecer la capacidad técnica institucional de las entidades distritales en la implementación y seguimiento del Modelo Integrado de Planeación y Gestión – MIPG, mediante la puesta en marcha de la estrategia distrital de MIPG. Se construyó un documento de comentarios al proyecto de plan de desarrollo y su documento técnico teniendo en cuenta el propósito No.5 y su logro No.30. Se coordinó la revisión del plan de desarrollo Distrital, Un Nuevo Contrato Social para la Bogotá del Siglo XXI para la identificación de acciones a ejecutar por parte del sector Gestión Pública y en especial de la Subsecretaría Técnica.
• Negociación Sindical: Se elaboró una matriz que consolida y relaciona los programas generales que reportaron los sectores en el Plan Distrital de Desarrollo 2020-2023, “un nuevo contrato social y ambiental para la Bogotá del siglo XXI” para cumplir el pacto laboral suscrito por la Alcaldesa en Campaña. De otra parte se informó a los sectores Distritales de las disposiciones en materia de negociación colectiva que impartió el Ministerio del Trabajo en conjunto con el DAFP.
•  Comisión Intersectorial de Gestión y Desempeño – SIG: El pasado 11 de mayo se realizó la primera sesión de la Comisión Intersectorial de Gestión y Desempeño.
• Participación de instancias: La Subsecretaria Técnica participó en las instancias a las que fue convocada como delegada de la Administración Distrital, a saber: Consejo Distrital de Archivo, Junta Directiva de Invest In Bogota y Consejo de Administración de la Caja de Vivienda Popular.
• Gerencia Proyecto 1125: Se efectuaron actividades de direccionamiento, seguimiento y cierre  de las metas programadas en este proyecto de inversión para 2020.</t>
  </si>
  <si>
    <t>No se presentaron</t>
  </si>
  <si>
    <t xml:space="preserve">Estrategia de implementación Distrital de MIPG alineada con el Plan Distrital de Desarrollo 2020-2024.
Elaboración de un diagnóstico de desempeño sectorial para el Distrito Capital.
Seguimiento de la Política Pública de Transparencia y entrega de los informes a la SDP .
Definición de la estrategia de innovación iBO.
Dar cumplimiento a las funciones establecidas en el decreto 425 de 2016  y directrices impartidas por la entidad.
Cumplimiento por parte del Distrito de la normativa en negociación colectiva que involucra la mesa Distrital de Negociación.
</t>
  </si>
  <si>
    <t>Estrategia de implementación Distrital de MIPG alineada con el Plan Distrital de Desarrollo 2020-2023.
Conclusiones de diagnóstico de desempeño sectorial e informe para los sectores como insumo para formular  estrategias y acciones que disminuyan las brechas identificadas.
Consolidación de la Estrategia de transparencia, integridad y lucha contra la corrupción a desarrollar en el Distrito Capital.
Se definió en conjunto con la Alta Consejería de las TIC, la ruta de trabajo de iBO, que consta de las fases, actividades y productos a desarrollar en 2020 y perspectivas para su implementación en el marco del actual Plan Distrital de Desarrollo 2020 - 2023.
Se dio cumplimiento a las funciones establecidas en el Decreto 425 de 2016  y demás directrices impartidas por la entidad.</t>
  </si>
  <si>
    <t>Informe que contiene los resultados de la evaluación de implementación de la Política Pública de Servicio a la Ciudadanía, con corte a 31 de diciembre de 2019</t>
  </si>
  <si>
    <t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t>
  </si>
  <si>
    <t>Se solicitó el reporte de avance o cumplimiento de indicadores de la PPDSC, con corte a 31 de diciembre de 2019 a las entidades participantes, de acuerdo a lo solicitado por la Secretaría Distrital de Planeación.</t>
  </si>
  <si>
    <t>De acuerdo al cronograma de reporte de Políticas Públicas, el 30 de abril de 2020 se envió reporte de avance con corte al 31 de diciembre de 2019, a la Secretaría Distrital de Planeación.</t>
  </si>
  <si>
    <t>Entregar  la información de avance y cumplimiento del Plan de Acción de la PPDSC; lo cual constituye información oficial que puede ser de conocimiento de la ciudadanía, asi como de todas las entidades y entes de control que lo requieran</t>
  </si>
  <si>
    <t>Mediante memorando 3-2020-9831 del 28 de abril de 2020, se informó que este indicador no tendría programación para la vigencia 2020</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</si>
  <si>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Para el año en curso, la subdirección presentará una propuesta para lograr la interoperabilidad con los sistemas de información en el ejercicio de IVC,  con los que cuenta la Secretaría Distrital de Salud y la Secretaría Distrital de Ambiente, esto ayudará a obetener datos en línea del desarrollo de las visitas realizadas.
Esta propuesta esta descrita en el plan operativo de la dependencia, la cual consta de 4 fases:
1.Mesas de trabajo con las entidades para estandarización de la estructura del XML en el servicio web.
2.Prueba de envío de alertas a los sistemas de las entidades desde la plataforma IVC.
3. Pruebas piloto en visitas multidisciplinarias.
4. Elaboración de documentos de propuesta para actualización de la plataforma.
 </t>
  </si>
  <si>
    <t xml:space="preserve">En este mes se empiezan las reuniones para abordar los temas de interoperabilidad y estandarización de formatos para realizar la estructura en XML.
 </t>
  </si>
  <si>
    <t xml:space="preserve">Por medio de correo electrónico, se socializa con los referentes de las entidades asigandos al tema, las especificaciones que se deben tener para el desarrollo de los servicios web.
 </t>
  </si>
  <si>
    <t xml:space="preserve">Se informa que este mes se da cumplimiento a la fase 1, con la realizaron mesas de trabajo con las  entidades antes mencionadas para estandarización de la estructura del XML en el servicio web.
 </t>
  </si>
  <si>
    <t xml:space="preserve">Con el cumplimiento de esta actividad, se contribuye a la implementación de la interoperabilidad; puesto que al crear un estandar antes de iniciar los desarrollos, aumenta la probabilidad de éxito de cara a las pruebas a llevar a cabo.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</si>
  <si>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Engativa el 22 de enero, en el cual se visitó 1 establecimiento de comercio.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</si>
  <si>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Teusaquillo el 8 de marzo, en el cual se visitaron 5 establecimientos de comercio. 
</t>
  </si>
  <si>
    <t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t>
  </si>
  <si>
    <t xml:space="preserve">En el mes de enero se evaluaron (en términos de Calidad y Calidez) 1.225 respuestas registradas en el Sistema de Gestión de peticiones ciudadanas, emitidas en el mes anterior (diciembre/2019) por la Secretaría General y demás entidades distritales,  realizando las siguientes actividades:  
-Selección de la muestra a evaluar. 
-Evaluación de 1.225  respuestas, obteniendose los siguientes resultados en cuanto a los criterios evaluados: el  96% (1.171 respuestas evaluadas en el periodo) cumplen con el criterio de Coherencia; el 93% (1.135 respuestas) cumplen con el criterio de claridad; el  96% (1.171 respuestas)  cumplen con el criterio de calidez;  el 71% (865 respuestas) cumplen con Oportunidad; concluyéndose que el 32% (391  respuestas) no cumplen todos los criterios de Calidad y Calidez  y el  23% (278 respuestas) no cumplen con el manejo del sistema.
-Remisión de comunicaciones  (9 memorandos a Dependencias de la Secretaría General y 39  oficios a  entidades distritales ) con Informe de resultados de la evaluación en términos de Calidad y Calidez (reporte mes vencido). 
La fuente de verificación : 1 archivo PDF "Base de Calidad y Calidez"  da cuenta del total de respuestas a peticiones ciudadanas evaluadas en el mes de enero  (1.225 respuestas emitidas en el mes anterior  -diciembre/2019 - por la Secretaría General y demás entidades distritales). 
</t>
  </si>
  <si>
    <t xml:space="preserve">En el mes de febrero se evaluaron (en términos de Calidad y Calidez) 1.734  respuestas registradas en el Sistema de Gestión de peticiones ciudadanas, emitidas en el mes anterior (enero/2020) por la Secretaría General y demás entidades distritales,  realizando las siguientes actividades:  
-Selección de la muestra a evaluar. 
-Evaluación de 1.734  respuestas, obteniendose los siguientes resultados en cuanto a los criterios evaluados:el  97% (1.686 respuestas evaluadas en el periodo) cumplen con el criterio de Coherencia; el 95% (1.642 respuestas) cumplen con el criterio de claridad; el  97% (1.684 respuestas)  cumplen con el criterio de calidez;  el 75% (1.306 respuestas) cumplen con Oportunidad; concluyéndose que el 27% (469  respuestas) no cumplen todos los criterios de Calidad y Calidez  y el 4% (75 respuestas) no cumplen con el manejo del sistema.
-Remisión de comunicaciones  (5 memorandos a Dependencias de la Secretaría General y 26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febrero  (1.734 respuestas emitidas en el mes anterior  -enero/2020 - por la Secretaría General y demás entidades distritales). </t>
  </si>
  <si>
    <t xml:space="preserve">En el mes de marzo se evaluaron (en términos de Calidad y Calidez) 1.635  respuestas registradas en el Sistema de Gestión de peticiones ciudadanas, emitidas en el mes anterior (febrero/2020) por la Secretaría General y demás entidades distritales,  realizando las siguientes actividades:  
-Selección de la muestra a evaluar. 
-Evaluación de 1.635  respuestas, obteniendose los siguientes resultados en cuanto a los criterios evaluados:
El  96% (1.566 respuestas) cumplen con el criterio de Coherencia; el 93% (1.514 respuestas) cumplen con el criterio de claridad; el  95% (1.554  respuestas)  cumplen con el criterio de calidez;  el 85% (1.383 respuestas) cumplen con Oportunidad; concluyéndose que el 18% (301  respuestas) no cumplen todos los criterios de Calidad y Calidez  y el 7% (115 respuestas) no cumplen con el manejo del sistema.
-Remisión de comunicaciones  (9 memorandos a Dependencias de la Secretaría General y 36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marzo  (1.635 respuestas emitidas en el mes anterior  -febrero/2020 - por la Secretaría General y demás entidades distritales). </t>
  </si>
  <si>
    <t xml:space="preserve">En el mes de abril se evaluaron (en términos de Calidad y Calidez)  2.169  respuestas registradas en el Sistema de Gestión de peticiones ciudadanas, emitidas en el mes anterior (marzo/2020) por la Secretaría General y demás entidades distritales,  realizando las siguientes actividades:  
-Selección de la muestra a evaluar. 
-Evaluación de 2.169  respuestas, obteniendose los siguientes resultados en cuanto a los criterios evaluados:
El  95% (2.069  respuestas evaluadas en el periodo) cumplen con el criterio de Coherencia; el 92% (1.987 respuestas) cumplen con el criterio de claridad; el  95% (2.054  respuestas)  cumplen con el criterio de calidez;  el 75% (1.621 respuestas) cumplen con Oportunidad; concluyéndose que el 28% (614  respuestas) no cumplen todos los criterios de Calidad y Calidez  y el 5% (115 respuestas) no cumplen con el manejo del sistema.
-Remisión de comunicaciones  (7 memorandos a Dependencias de la Secretaría General y 40 oficios a  entidades distritales ) con Informe de resultados de la evaluación en términos de Calidad y Calidez (reporte mes vencido). 
La fuente de verificación: 1 archivo  "Base de Calidad y Calidez"  da cuenta del total de respuestas a peticiones ciudadanas evaluadas en el mes de abril  (2.169  respuestas emitidas en el mes anterior  -marzo/2020 - por la Secretaría General y demás entidades distritales). </t>
  </si>
  <si>
    <t xml:space="preserve">En el mes de mayo  se evaluaron (en términos de Calidad y Calidez) 1.544 respuestas registradas en el Sistema de Gestión de peticiones ciudadanas, emitidas en el mes anterior (abril/2020) por la Secretaría General y demás entidades distritales,  realizando las siguientes actividades:  
-Selección de la muestra a evaluar. 
-Evaluación de 1.544  respuestas, obteniendose los siguientes resultados en cuanto a los criterios evaluados:
El  94% (1.456  respuestas evaluadas en el periodo) cumplen con el criterio de Coherencia; el 91% (1.398 respuestas) cumplen con el criterio de claridad; el  94% (1.448  respuestas)  cumplen con el criterio de calidez;  el 77% (1.190 respuestas) cumplen con Oportunidad; concluyéndose que el 27% (412  respuestas) no cumplen todos los criterios de Calidad y Calidez  y el 7% (111 respuestas) no cumplen con el manejo del sistema.
-Remisión de comunicaciones  (6 memorandos a Dependencias de la Secretaría General y 35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mayo (1.544  respuestas emitidas en el mes anterior  -abril/2020 - por la Secretaría General y demás entidades distritales). </t>
  </si>
  <si>
    <t xml:space="preserve">En el mes de junio  se evaluaron (en términos de Calidad y Calidez) 1.811 respuestas registradas en el Sistema de Gestión de peticiones ciudadanas, emitidas en el mes anterior (mayo/2020) por la Secretaría General y demás entidades distritales,  realizando las siguientes actividades:  
-Selección de la muestra a evaluar. 
-Evaluación de 1.811  respuestas, obteniendose los siguientes resultados en cuanto a los criterios evaluados:
El  95% (1.726  respuestas evaluadas en el periodo) cumplen con el criterio de Coherencia; el 91% (1.650 respuestas) cumplen con el criterio de claridad; el  94% (1.707  respuestas)  cumplen con el criterio de calidez;  el 82% (1.489 respuestas) cumplen con Oportunidad; concluyéndose que el 22% (392  respuestas) no cumplen todos los criterios de Calidad y Calidez  y el 9% (165 respuestas) no cumplen con el manejo del sistema.
-Remisión de comunicaciones  (7 memorandos a Dependencias de la Secretaría General y 34 oficios a  entidades distritales ) con Informe de resultados de la evaluación en términos de Calidad y Calidez (reporte mes vencido). </t>
  </si>
  <si>
    <t>N.A</t>
  </si>
  <si>
    <t>Se identificaron los aspectos a mejorar en la respuesta a peticiones ciudadanas,  retroalimentando a dependencias de la Secretaría  General y entidades Distritales (9 dependencias de la Secretaría General y 39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</si>
  <si>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(5 dependencias de la Secretaría General y 26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</si>
  <si>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(9 dependencias de la Secretaría General y 36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</si>
  <si>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(7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</si>
  <si>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(6 dependencias de la Secretaría General y 35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</si>
  <si>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(7 dependencias de la Secretaría General y 34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</si>
  <si>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En el mes de enero se realizaron cinco (5)  visitas de  monitoreo a los puntos CADE Candelaria, Super CADE Móvil  Ciudad Bolívar, CADE Chicó, CADE Gaitana y Super CADE Móvil Santafe,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enero/2020</t>
  </si>
  <si>
    <t>En el mes de febrero se realizaron ocho (8)  visitas de  monitoreo a los puntos CADE Fontibon, CADE Kennedy, CADE  Muzu, SuperCADE Móvil Kennedy y SuperCADE Móvil Suba, CLAV Suba y Alcaldías Locales Santafe y Usaquen,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"Informes Ficha Tecnica de Monitoreo"  contienen el reporte de las ocho (8) visitas de monitoreo realizadas a los puntos de atención visitados en el mes de febrero/2020</t>
  </si>
  <si>
    <t>Durante el mes de marzo se realizaron doce (12)  visitas de  monitoreo a los puntos CADE Luceros, CADE Plaza de las Américas, CADE Santa Helenita, CADE Bosa, CADE Santa Lucia, CADE Servita, CADE Toberín, CLAV Rafael Uribe, CLAV Ciudad Bolívar, Alcaldía Local Candelaria, Alcaldía Local Engativá y Alcaldía Local Puente Aranda.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12 archivos PDF "Informes Ficha Tecnica de Monitoreo"  contienen el reporte de las doce (12) visitas de monitoreo realizadas a los puntos de atención visitados en el mes de marzo/2020.</t>
  </si>
  <si>
    <t xml:space="preserve"> Se identificaron  los aspectos a mejorar en la prestación del servicio a la ciudadanía  en cinco (5)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t>
  </si>
  <si>
    <t xml:space="preserve"> Se identificaron  los aspectos a mejorar en la prestación del servicio a la ciudadanía  en ocho (8)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t>
  </si>
  <si>
    <t xml:space="preserve"> Se identificaron  los aspectos a mejorar en la prestación del servicio a la ciudadanía  en doce (12)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t>
  </si>
  <si>
    <t>Durante el mes de enero se realizaron dos (2) jornadas de cualificación, en las cuales se alcanzó en total a 11 servidores(as) públicos y otros de la Administración Distrital y entidades presentes en la Red CADE, cualificándolos en sus conocimientos, habilidades y actitudes en el servicio a la ciudadanía, especificamente en temáticas de Conceptos de Servicio 
La fuentes de verificación 2 archivos: 
1 archivo PDF "Asistencia Cualificación mes de enero" contienen los listados de asistencia a las cualificaciones realizadas  en el mes de enero/2020.
1 archivo PDF Consolidado Cualificac enero 2020</t>
  </si>
  <si>
    <t>Durante el mes de febrero se realizaron seis  (6) jornadas de cualificación, en las cuales se alcanzó en total a 104 servidores(as) públicos y otros de la Administración Distrital y entidades presentes en la Red CADE, cualificándolos en sus conocimientos, habilidades y actitudes en el servicio a la ciudadanía, especificamente en temáticas de Conceptos de Servicio 
Las fuentes de verificación 2 archivos:
 1 archivo PDF "Asistencia Cualificación mes de febrero" contiene los listados de asistencia a las cualificaciones realizadas en el mes de febrero/2020.
1 archivo PDF Consolidado Cualificac febrero 2020</t>
  </si>
  <si>
    <t>Durante el mes de marzo se realizaron seis  (6) jornadas de cualificación, en las cuales se alcanzó en total a 207  servidores(as) públicos y otros de la Administración Distrital y entidades presentes en la Red CADE, cualificándolos en sus conocimientos, habilidades y actitudes en el servicio a la ciudadanía, especificamente en temáticas de Conceptos de Servicio 
Las  fuentes de verificación 2 archivos:
1 archivo PDF "Asistencia Cualificación mes de marzo" contiene los listados de asistencia a las cualificaciones realizadas en el mes de marzo/2020.
1 archivo PDF Consolidado Cualificac marzo 2020</t>
  </si>
  <si>
    <t xml:space="preserve">Durante el mes de abril  se cualficaron   745 servidores(as) públicos y otros de la Administración Distrital y entidades presentes en la Red CADE, cualificándolos en sus conocimientos, habilidades y actitudes en el servicio a la ciudadanía (temáticas:  Conceptos de Servicio, Escuchando nuestro lenguaje,  Creando confianza, Resolución de Conflictos, Ética y transparencia,   Didácticas para una ciudadanía inconforme, Ver más allá con inteligencia social) mediante Herramientas virtuales, así:
Cualificados Herramienta E cualificación (Gamificación) : 570    
Cualificados Herramienta MEETS: 173    
Las fuentes de verificación 4 archivos: 
. "Archivo excell Reporte  Gamificacion servidores cualific abril"
. Archivo PDF Formato 211 Asistencia Cualific  Herramienta MEEDS (Se aclara qu el formato no cuenta con diligenciamiento de todos los datos teniendo en cuenta que los firmantes son   jóvenes de la Unidad de Prevención Integral de la Localidad de Bosa -IDIPRON ,  internados en dicha unidad, que  están en la última etapa del Modelo Pedagógico de IDIPRON,  para posteriormente ser seleccionados a participar  como servidores públicos en entidades distritales, que no cuentan con dichos datos).
. Archivo PDF Oficio de IDIPRON en donde se aclara que los jovenes no cuentan con correo ni teléfono.
1 archivo PDF Consolidado Cualificac. abril  2020
</t>
  </si>
  <si>
    <t>Durante el mes de mayo  se cualficaron   777 servidores(as) públicos y otros de la Administración Distrital y entidades presentes en la Red CADE, cualificándolos en sus conocimientos, habilidades y actitudes en el servicio a la ciudadanía (temáticas:  Conceptos de Servicio, Escuchando nuestro lenguaje,  Creando confianza, Resolución de Conflictos, Ética y transparencial) mediante Herramientas virtuales, así:
Cualificados Herramienta E cualificación (Gamificación) : 728
Cualificados Herramienta MEETS: 49 .
Las fuentes de verificación 5 archivos: 
. "Archivo excel Reporte  Gamificacion servidores cualificados mayo"
. Archivo PDF Formato 211 Asistencia Cualific  -IDIPRON -Herramienta MEEDS-18 Mayo/2020.
.Archivo Excel  Formato FT 211 Asistencia  Cualif  IDRD -Herramienta MEEDs 26 mayo/2020. - El formato  fue diligenciado digitalmente por parte del enlace de IDRD, según lo acordado con la entidad en reunión inicial, para facilitar el diligenciamiento de los formatos propios del Procedimiento de Cualificación,  como medida de Prevención del COVID-19 (se anexa  copia acta Reunión).
. Archivo PDF copia Acta Reunión IDRD.
1 archivo PDF Consolidado Cualificac. mayo  2020</t>
  </si>
  <si>
    <t>Durante el mes de junio  se cualficaron   810 servidores(as) públicos y otros de la Administración Distrital y entidades presentes en la Red CADE, cualificándolos en sus conocimientos, habilidades y actitudes en el servicio a la ciudadanía (temáticas:  Estrategias humanas efectivas,  Escuchando nuestro lenguaje, Conceptos de Servicio,  Creando confianza, Resolución de Conflictos, Ética y transparencial) mediante Herramientas virtuales, e interactivo presencial así:
Interactivo presencial: 11
Cualificados Herramienta MEETS: 41
Cualificados Herramienta E cualificación (Gamificación) : 758</t>
  </si>
  <si>
    <t xml:space="preserve">Se fortalecieron los conocimientos, habilidades y actitudes de 11 servidores(as) públicos y otros,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</si>
  <si>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104 servidores(as) públicos y otros,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</si>
  <si>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207 servidores(as) públicos y otros,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</si>
  <si>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745 servidores(as) públicos y otros,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</si>
  <si>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777 servidores(as) públicos y otros,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</si>
  <si>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810  servidores(as) públicos y otros, de la Administración Distrital y entidades presentes en la Red CADE, para el mejoramiento en la prestación  del  servicio a la ciudadanía, en el marco de la Política Pública de Servicio a la Ciudadanía. </t>
  </si>
  <si>
    <t xml:space="preserve">En el mes de febrero se realizó una  (1)  capacitación a  administradores y/o usuarios  del Sistema Distrital para la Gestión de Peticiones Ciudadanas , en la funcionalidad, configuración, manejo y uso general  del sistema. </t>
  </si>
  <si>
    <t xml:space="preserve">En el mes de marzo se realizaron dos  (2)  capacitaciones a  administradores y/o usuarios  del Sistema Distrital para la Gestión de Peticiones Ciudadanas , en la funcionalidad, configuración, manejo y uso general  del sistema. </t>
  </si>
  <si>
    <t xml:space="preserve">En el mes de abril se realizaron cuatro  (4)  capacitaciones a  administradores y/o usuarios  del Sistema Distrital para la Gestión de Peticiones Ciudadanas , en la funcionalidad, configuración, manejo y uso general  del sistema. </t>
  </si>
  <si>
    <t xml:space="preserve">En el mes de mayo se realizaron dos  (2)  capacitaciones a  administradores y/o usuarios  del Sistema Distrital para la Gestión de Peticiones Ciudadanas , en la funcionalidad, configuración, manejo y uso general  del sistema. </t>
  </si>
  <si>
    <t xml:space="preserve">En el mes de junio  se realizaron dos  (2)  capacitaciones a  administradores y/o usuarios  del Sistema Distrital para la Gestión de Peticiones Ciudadanas , en la funcionalidad, configuración, manejo y uso general  del sistema. </t>
  </si>
  <si>
    <t xml:space="preserve">Se  fortalecieron las competencias de 12 servidores para operar y administrar el Sistema Distrital para la gestión de peticiones ciudadanas.     </t>
  </si>
  <si>
    <t xml:space="preserve">Se  fortalecieron las competencias de 37 servidores para operar y administrar el Sistema Distrital para la gestión de peticiones ciudadanas.     </t>
  </si>
  <si>
    <t xml:space="preserve">Se  fortalecieron las competencias de 82  servidores para operar y administrar el Sistema Distrital para la gestión de peticiones ciudadanas.     </t>
  </si>
  <si>
    <t xml:space="preserve">Se  fortalecieron las competencias de 19  servidores para operar y administrar el Sistema Distrital para la gestión de peticiones ciudadanas.     </t>
  </si>
  <si>
    <t xml:space="preserve">Se  fortalecieron las competencias de 25  servidores(as) para operar y administrar el Sistema Distrital para la gestión de peticiones ciudadanas.     </t>
  </si>
  <si>
    <t xml:space="preserve">En el mes de enero se retroalimentó a nueve (9 )dependencias de la Secretaría General y treinta y nueve (39)  entidades distritales, con Informe de resultados de la evaluación en términos de Calidad y Calidez de sus respuestas emitidas el mes anterior (diciembre 2019). 
En el mes, en total se evaluron en términos de Calidad y Calidez,  1.225 respuestas registradas en el Sistema Distrital para la Gestión de peticiones ciudadanas,  para lo cual se  realizaron las siguientes actividades:  
-Selección de la muestra a evaluar. 
-Evaluación de 1.225  respuestas, obteniendose los siguientes resultados en cuanto a los criterios evaluados: el  96% (1.171 respuestas evaluadas en el periodo) cumplen con el criterio de Coherencia; el 93% (1.135 respuestas) cumplen con el criterio de claridad; el  96% (1.171 respuestas)  cumplen con el criterio de calidez;  el 71% (865 respuestas) cumplen con Oportunidad; concluyéndose que el 32% (391  respuestas) no cumplen todos los criterios de Calidad y Calidez  y el  23% (278 respuestas) no cumplen con el manejo del sistema.
-Remisión de comunicaciones  (9 memorandos a Dependencias de la Secretaría General y 39  oficios a  entidades distritales ) con Informe de resultados de la evaluación en términos de Calidad y Calidez (reporte mes vencido). 
La fuente de verificación: 1 archivo PDF da cuenta de las comunicaciones enviadas en el mes de enero/2020,  mediante las cuales se retroalimentó  a nueve (9 )dependencias de la Secretaría General y treinta y nueve (39)  entidades distritales. </t>
  </si>
  <si>
    <t xml:space="preserve">En el mes de febrero se retroalimentó a cinco (5 )dependencias de la Secretaría General y ventiseis (26)  entidades distritales, con Informe de resultados de la evaluación en términos de Calidad y Calidez de sus respuestas emitidas el mes anterior (enero 2020). 
En el mes, en total se evaluron en términos de Calidad y Calidez,  1.734 respuestas registradas en el Sistema Distrital para la Gestión de peticiones ciudadanas,  para lo cual se  realizaron las siguientes actividades:  
-Selección de la muestra a evaluar. 
-Evaluación de 1.734  respuestas, obteniendose los siguientes resultados en cuanto a los criterios evaluados: el  97% (1.686 respuestas evaluadas en el periodo) cumplen con el criterio de Coherencia; el 95% (1.642 respuestas) cumplen con el criterio de claridad; el  97% (1.684 respuestas)  cumplen con el criterio de calidez;  el 75% (1.306 respuestas) cumplen con Oportunidad; concluyéndose que el 27% (469  respuestas) no cumplen todos los criterios de Calidad y Calidez  y el 4% (75 respuestas) no cumplen con el manejo del sistema.
-Remisión de comunicaciones  (5 memorandos a Dependencias de la Secretaría General y 26  oficios a  entidades distritales ) con Informe de resultados de la evaluación en términos de Calidad y Calidez (reporte mes vencido). 
La fuente de verificación: 1 archivo PDF da cuenta de las comunicaciones enviadas en el mes de febrero/2020,  mediante las cuales se retroalimentó  a cinco (5 ) dependencias de la Secretaría General yventiseis (26)  entidades distritales. </t>
  </si>
  <si>
    <t xml:space="preserve">En el mes de marzo se retroalimentó a nueve (9 )dependencias de la Secretaría General y treinta y seis (36)  entidades distritales, con Informe de resultados de la evaluación en términos de Calidad y Calidez de sus respuestas emitidas el mes anterior (febrero 2020). 
En el mes, en total se evaluron en términos de Calidad y Calidez,  1.635  respuestas registradas en el Sistema Distrital para la Gestión de peticiones ciudadanas,  para lo cual se  realizaron las siguientes actividades:  
-Selección de la muestra a evaluar. 
-Evaluación de 1.635   respuestas, obteniendose los siguientes resultados en cuanto a los criterios evaluados: el  96% (1.566 respuestas evaluadas en el periodo) cumplen con el criterio de Coherencia; el 93% (1.514 respuestas) cumplen con el criterio de claridad; el  95% (1.554  respuestas)  cumplen con el criterio de calidez;  el 85% (1.383 respuestas) cumplen con Oportunidad; concluyéndose que el 18% (301  respuestas) no cumplen todos los criterios de Calidad y Calidez  y el 7% (115 respuestas) no cumplen con el manejo del sistema.
-Remisión de comunicaciones  (9 memorandos a Dependencias de la Secretaría General y 36  oficios a  entidades distritales ) con Informe de resultados de la evaluación en términos de Calidad y Calidez (reporte mes vencido). 
La fuente de verificación: 1 archivo PDF da cuenta de las comunicaciones enviadas en el mes de marzo/2020,  mediante las cuales se retroalimentó  a nueve (9 ) dependencias de la Secretaría General y treinta y seis (36)  entidades distritales. </t>
  </si>
  <si>
    <t xml:space="preserve">En el mes de abril se retroalimentó a siete (7 ) dependencias de la Secretaría General y cuarenta (40)  entidades distritales, con Informe de resultados de la evaluación en términos de Calidad y Calidez de sus respuestas emitidas el mes anterior (marzo2020). 
En el mes, en total se evaluron en términos de Calidad y Calidez,  2.169 respuestas registradas en el Sistema Distrital para la Gestión de peticiones ciudadanas,  para lo cual se  realizaron las siguientes actividades:  
-Selección de la muestra a evaluar. 
-Evaluación de 2.169   respuestas, obteniendose los siguientes resultados en cuanto a los criterios evaluados: el  95% (2.069  respuestas evaluadas en el periodo) cumplen con el criterio de Coherencia; el 92% (1.987 respuestas) cumplen con el criterio de claridad; el  95% (2.054  respuestas)  cumplen con el criterio de calidez;  el 75% (1.621 respuestas) cumplen con Oportunidad; concluyéndose que el 28% (614  respuestas) no cumplen todos los criterios de Calidad y Calidez  y el 5% (115 respuestas) no cumplen con el manejo del sistema.
-Remisión de comunicaciones  (7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abril/2020,  mediante las cuales se retroalimentó  a siete (7 ) dependencias de la Secretaría General y cuarenta (40)  entidades distritales. </t>
  </si>
  <si>
    <t xml:space="preserve">En el mes de mayo se retroalimentó a seis (6 ) dependencias de la Secretaría General y treinta y cinco (35)  entidades distritales, con Informe de resultados de la evaluación en términos de Calidad y Calidez de sus respuestas emitidas el mes anterior (abril 2020). 
En el mes, en total se evaluron en términos de Calidad y Calidez,  1.544 respuestas registradas en el Sistema Distrital para la Gestión de peticiones ciudadanas,  para lo cual se  realizaron las siguientes actividades:  
-Selección de la muestra a evaluar. 
-Evaluación de 1.544   respuestas, obteniendose los siguientes resultados en cuanto a los criterios evaluados: el  94% (1.456  respuestas evaluadas en el periodo) cumplen con el criterio de Coherencia; el 91% (1.398 respuestas) cumplen con el criterio de claridad; el  94% (1.448  respuestas)  cumplen con el criterio de calidez;  el 77% (1.190 respuestas) cumplen con Oportunidad; concluyéndose que el 27% (412  respuestas) no cumplen todos los criterios de Calidad y Calidez  y el 7% (111 respuestas) no cumplen con el manejo del sistema.
-Remisión de comunicaciones  (6 memorandos a Dependencias de la Secretaría General y 35 oficios a  entidades distritales ) con Informe de resultados de la evaluación en términos de Calidad y Calidez (reporte mes vencido). 
La fuente de verificación:  1 archivo PDF da cuenta de las comunicaciones enviadas en el mes de mayo/2020,  mediante las cuales se retroalimentó  a seis (6 ) dependencias de la Secretaría General y treinta y cinco (35)  entidades distritales. </t>
  </si>
  <si>
    <t xml:space="preserve">En el mes de junio se retroalimentó a siete (7 ) dependencias de la Secretaría General y treinta y cuatro (34)  entidades distritales, con Informe de resultados de la evaluación en términos de Calidad y Calidez de sus respuestas emitidas el mes anterior (mayo/ 2020). 
En el mes, en total se evaluaron en términos de Calidad y Calidez,  1.811 respuestas registradas en el Sistema Distrital para la Gestión de peticiones ciudadanas,  para lo cual se  realizaron las siguientes actividades:  
-Selección de la muestra a evaluar. 
-Evaluación de 1.811   respuestas, obteniendose los siguientes resultados en cuanto a los criterios evaluados: el  95% (1.726  respuestas evaluadas en el periodo) cumplen con el criterio de Coherencia; el 91% (1.650 respuestas) cumplen con el criterio de claridad; el  94% (1.707  respuestas)  cumplen con el criterio de calidez;  el 82% (1.489 respuestas) cumplen con Oportunidad; concluyéndose que el 22% (392  respuestas) no cumplen todos los criterios de Calidad y Calidez  y el 9% (165 respuestas) no cumplen con el manejo del sistema.
-Remisión de comunicaciones  (7 memorandos a Dependencias de la Secretaría General y 34 oficios a  entidades distritales ) con Informe de resultados de la evaluación en términos de Calidad y Calidez (reporte mes vencido). </t>
  </si>
  <si>
    <t>Se identificaron los aspectos a mejorar (en términos de Calidad y Calidez) en la respuesta a peticiones ciudadanas emitidas por la Secretaría General  y entidades Distritales en el mes anterior (diciembre/2019) , retroalimentando a nueve (9) dependencias de la Secretaría General y treinta y nueve  (39)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</si>
  <si>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términos de Calidad y Calidez) en la respuesta a peticiones ciudadanas emitidas por la Secretaría General  y entidades Distritales en el mes anterior (enero/2020) , retroalimentando a cinco (5) dependencias de la Secretaría General y ventiseis  (26)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</si>
  <si>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términos de Calidad y Calidez) en la respuesta a peticiones ciudadanas emitidas por la Secretaría General  y entidades Distritales en el mes anterior (febrero) , retroalimentando a nueve (9) dependencias de la Secretaría General y treinta y seis  (36)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</si>
  <si>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términos de Calidad y Calidez) en la respuesta a peticiones ciudadanas emitidas por la Secretaría General  y entidades Distritales en el mes anterior (marzo) , retroalimentando a siete (7)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</si>
  <si>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términos de Calidad y Calidez) en la respuesta a peticiones ciudadanas emitidas por la Secretaría General  y entidades Distritales en el mes anterior (abril , retroalimentando a seis (6) dependencias de la Secretaría General y treinta y cinco (35)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</si>
  <si>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términos de Calidad y Calidez) en la respuesta a peticiones ciudadanas emitidas por la Secretaría General  y entidades Distritales en el mes anterior (mayo), retroalimentando a siete (7) dependencias de la Secretaría General y treinta y cuatro (34)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</si>
  <si>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En el mes de enero se realizó seguimiento a las peticiones  registradas en el  Sistema Distrital para la Gestión de Peticiones Ciudadanas  en el mes anterior  (diciembre/2019) pendientes de cierre  (Circular 014/2020)  según términos de ley,   en la Secretaría General y entidades distritales, encontrándose que en este mes,  en el Distrito Capital  en el Distrito Capital  22.542  peticiones se encontraban pendientes  de cierre, siendo las 10 entidades con el mayor número de peticiones, las siguientes: 
Secretaría Distrital de Gobierno  (20.387  peticiones; 90,44% del total pendiente de cierre en el Distrito Capital); UAE de Servicios Públicos -UAESP (663 peticiones; 2,94%);  Empresa de Acueducto, Alcantarillado y Aseo de Bogotá (187 peticiones; 0,83%);  Secretaría Distrital de Ambiente (158 peticiones; 0,70%); Secretaría Distrital del Hábitat (139  peticiones; 0,62%);   DADEP ( 137 peticiones; 0,61%) Secretaría Distrital de Salud (136 peticiones; 0,60%); CODENSA ( 116 peticiones; 0,51%) ; UAE Mantenimiento Vial (115 peticiones; 0,51%);    Secretaría Distrital de Movilidad ( 106 peticiones ; 0,47%);  Así mismo, otras entidades presentaron 398   peticiones que representan el 1,77% del total.
En total se identificaron venticinco (25) entidades Distritales y cuatro (4) dependencias de la Secretaría General con peticiones pendientes de cierre  a las cuales se les envió comunicación.
La fuente de verificación 1 archivo PDF  "Comunicaciones enviadas en enero" da cuenta de las comunicaciones enviadas en el mes de enero/2020 a las  dependencias de la Secretaría General y entidades Distritales que presentaron peticiones pendientes de cierre  en el mes anterior  (es decir  diciembre/2019).</t>
  </si>
  <si>
    <t>En el mes de febrero se realizó seguimiento a las peticiones  registradas en el  Sistema Distrital para la Gestión de Peticiones Ciudadanas  en el mes anterior  (enero/2020) pendientes de cierre  (Circular 014/2020)  según términos de ley,   en la Secretaría General y entidades distritales, encontrándose que en este mes  en el Distrito Capital  en el Distrito Capital  25.749 peticiones se encontraban pendientes  de cierre, siendo las 10 entidades con el mayor número de peticiones, las siguientes: 
Secretaría Distrital de Gobierno  (21.742  peticiones; 84,44% del total pendiente de cierre en el Distrito Capital); UAE de Servicios Públicos -UAESP (871 peticiones; 3,38%);  Secretaría Distrital del Hábitat (516 peticiones; 2,0%); Secretaría Distrital de Ambiente (376 peticiones; 1,46%); Empresa de Acueducto, Alcantarillado y Aseo de Bogotá (242 peticiones; 0,94%); Secretaría Distrital de Movilidad (190 peticiones; 0,74%); Secretaría de Educación ( 185 peticiones ; 0,72%);  SubRed Sur Occidente   (182 peticiones; 0,72%), Secretaría Distrital de Salud (174 peticiones; 0,68%) y UAE Mantenimiento Vial (153 peticiones; 0,59%).   
En total se identificaron treinta y siete (37) entidades Distritales y tres (3) dependencias de la Secretaría General con peticiones pendientes de cierre  a las cuales se les envió comunicación.
La fuente de verificación: 1 archivo PDF  "Comunicaciones enviadas en febrero" da cuenta de las comunicaciones enviadas en el mes de febrero/2020 a las  dependencias de la Secretaría General y entidades Distritales que presentaron peticiones pendientes de cierre  en el mes anterior  (es decir  enero/2020).</t>
  </si>
  <si>
    <t>En el mes de marzo se realizó seguimiento a las peticiones  registradas en el  Sistema Distrital para la Gestión de Peticiones Ciudadanas  en el mes anterior  (febrero/2020) pendientes de cierre  (Circular 014/2020)  según términos de ley,   en la Secretaría General y entidades distritales, encontrándose que en este mes  en el Distrito Capital  27.449 peticiones se encontraban pendientes  de cierre, siendo las 10 entidades con el mayor número de peticiones, las siguientes: 
Secretaría Distrital de Gobierno  (22.862  peticiones; 83,29% del total pendiente de cierre en el Distrito Capital); UAE de Servicios Públicos -UAESP (1475  peticiones; 5,37%) ;Secretaría Distrital de Hábitat (648 peticiones; 2,36%);   Secretaría de Educación (384 peticiones ; 1,40%);   Secretaría Distrital de Ambiente (325 peticiones; 1,18%); Secretaría General  (276 peticiones; 1,01%); Empresa de Acueducto, Alcantarillado y Aseo de Bogotá (210 peticiones; 0,77%); IDIPYBA (148 peticiones; 0,54%); Transmilenio (144 peticiones; 0,52%);   UAE Mantenimiento Vial (119 peticiones; 0,43%).     Así mismo, otras entidades presentaron 858  peticiones que representan el 3,13% del total.
En total se identificaron ventinueve (29) entidades Distritales y cuatro (4) dependencias de la Secretara General con peticiones pendientes de cierre  a las cuales se les envió comunicación.
La fuente de verificación: 1 archivo PDF  "Comunicaciones enviadas en marzo" da cuenta de las comunicaciones enviadas en el mes de marzo/2020 a las  dependencias de la Secretaría General y entidades Distritales que presentaron peticiones pendientes de cierre  en el mes anterior  (es decir  febrero/2020).</t>
  </si>
  <si>
    <t>En el mes de abril se realizó seguimiento a las peticiones  registradas en el  Sistema Distrital para la Gestión de Peticiones Ciudadanas  en el mes anterior  (marzo/2020) pendientes de cierre  (Circular 014/2020)  según términos de ley,   en la Secretaría General y entidades distritales, encontrándose que en este mes  en el Distrito Capital  22.668 peticiones se encontraban pendientes  de cierre, siendo las 10 entidades con el mayor número de peticiones, las siguientes: 
Secretaría Distrital de Gobierno  (19.468  peticiones; 85,88% del total pendiente de cierre en el Distrito Capital); UAE de Servicios Públicos -UAESP (1.222 peticiones; 5,39%);  Secretaría Distrital del Hábitat (548 peticiones; 2,42%); Secretaría Distrital de Ambiente (316 peticiones; 1,39%); Secretaría de Educación ( 308  peticiones ; 1,36%); Empresa de Acueducto, Alcantarillado y Aseo de Bogotá (162 peticiones; 0,71%); Secretaría General  (140 peticiones; 0,62%); Secretaría Distrital de Hacienda     (91 peticiones; 0,40%), CODENSA (86 peticiones; 0,38%) IDIPYBA (84 peticiones; 0,37%).     Así mismo, otras entidades presentaron 243 peticiones que representan el 1,07% del total.
En total se identificaron ventiun (21) entidades Distritales y tres (3) dependencias de la Secretara General con peticiones pendientes de cierre  a las cuales se les envió comunicación.
La fuente de verificación: 1 archivo PDF  "Comunicaciones enviadas en abril" da cuenta de las comunicaciones enviadas en el mes de abril/2020 a las  dependencias de la Secretaría General y entidades Distritales que presentaron peticiones pendientes de cierre  en el mes anterior  (es decir  marzo/2020).</t>
  </si>
  <si>
    <t>En el mes de mayo se realizó seguimiento a las peticiones  registradas en el  Sistema Distrital para la Gestión de Peticiones Ciudadanas   pendientes de cierre a final de mes (abril/2020) según términos de ley,   en la Secretaría General y entidades distritales; encontrándose que en el Distrito Capital  22.477 peticiones se encontraban pendientes  de cierre (para validación por parte de las entidades) siendo las 10 entidades con el mayor número de peticiones pendientes de  cierre y que requieren validación, las siguientes: 
Secretaría Distrital de Gobierno  (18.618  peticiones; 82,83% del total pendiente de cierre en el Distrito Capital); UAE de Servicios Públicos -UAESP (1.353 peticiones; 6,02%);  Secretaría Distrital del Hábitat (660 peticiones; 2,94%); Secretaría Distrital de Ambiente (359 peticiones; 1,60%); Secretaría de Educación del Distrito (346  peticiones ; 1,54%); Empresa de Acueducto, Alcantarillado y Aseo de Bogotá (275 peticiones; 1,22%); Secretaría General  (180 peticiones; 0,80%); Secretaría Distrital de Hacienda     (117 peticiones; 0,52%), CODENSA (80 peticiones; 0,36%) IDIPYBA (72 peticiones; 0,32%).     Así mismo, otras entidades presentaron 345 peticiones que representan el 1,53% del total peticiones pendientes de  cierre en el Distrito Capital y que requieren validación.
En total se identificaron venticinco (25) entidades Distritales y tres (3) dependencias de la Secretara General con peticiones pendientes de cierre y que requieren validación, a las cuales se les envió comunicación.
La fuente de verificación: 1 archivo PDF  "Comunicaciones Ptes cierre enviadas en mayo", que  da cuenta de las comunicaciones enviadas en mayo, a las  dependencias de la Secretaría General y entidades Distritales que presentaron peticiones pendientes de cierre  en el mes anterior  (es decir  abril/2020).</t>
  </si>
  <si>
    <t>En el mes de junio se realizó seguimiento a las peticiones  registradas en el  Sistema Distrital para la Gestión de Peticiones Ciudadanas   pendientes de cierre a final de mes (mayo/2020) según términos de ley,   en la Secretaría General y entidades distritales; encontrándose que en el Distrito Capital  20.738 peticiones se encontraban pendientes  de cierre (para validación por parte de las entidades) siendo las 10 entidades con el mayor número de peticiones pendientes de  cierre y que requieren validación, las siguientes: 
Secretaría Distrital de Gobierno  (17.126  peticiones; 82,58% del total pendiente de cierre en el Distrito Capital); UAE de Servicios Públicos -UAESP (1.125 peticiones; 5,42%);  Secretaría Distrital del Hábitat (531 peticiones; 2,56%); Secretaría General  (388 peticiones; 1,87%); Secretaría Distrital de Hacienda     (247 peticiones; 1,19%), Secretaría Distrital de Integración Social  (231 peticiones; 1,11%);  Empresa de Acueducto, Alcantarillado y Aseo de Bogotá (220 peticiones; 1,06%);  IPES (203 peticiones; 0,98%); Transmilenio  (110  peticiones ; 0,53%); CODENSA (79 peticiones; 0,38%)   Así mismo, otras entidades presentaron 478 peticiones que representan el 2,32% del total peticiones pendientes de  cierre en el Distrito Capital y que requieren validación.
En total se identificaron treinta (30) entidades Distritales y cuatro (4) dependencias de la Secretara General con peticiones pendientes de cierre y que requieren validación, a las cuales se les envió comunicación.</t>
  </si>
  <si>
    <t xml:space="preserve">Se promovió a nivel Distrital la adecuada atención  de peticiones ciudadanas dentro de los tiempos establecidos por la ley, dejando evidencia de aquellas peticiones pendientes de respuesta, que deben ser atendidas de manera urgente por la entidad  </t>
  </si>
  <si>
    <t>Se promovió a nivel Distrital la adecuada atención  de peticiones ciudadanas dentro de los tiempos establecidos por la ley, dejando evidencia de aquellas peticiones pendientes  de cierre que deben ser validadas y atendidas por parte de las entidades</t>
  </si>
  <si>
    <t>Porcentaje de cumplimiento del Plan Estrategico de la Dirección de Talento Humano.</t>
  </si>
  <si>
    <t xml:space="preserve">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cultura y educación. </t>
  </si>
  <si>
    <t>Enero:
Para el mes de enero de 2020 la Secretaría General de la Alcaldía Mayor de Bogotá D.C. tenía un presupuesto disponible de $96.610.625.000 en gastos de funcionamiento y $ 107.707.652.000 en Inversión. De los cuales se ejecutaron para el cierre de ese mes un total de $ 7.773.036.854,00 (8,0%) en funcionamiento y $ 8.940.204.380 (8,3%) en inversión. Lo anterior, teniendo en cuenta que para dicho mes se gestionaron un total de 160 líneas del Plan Anual de Adquisiciones, de las cuales 153 corresponden a contratos de prestación de servicios profesionales o de apoyo a la gestión, 4 contratos de arrendamiento, 2 convenios interadministrativos y la suscripción de una orden de compra. De acuerdo con lo expuesto se cumplió con las necesidades de contratación de las dependencias que en principio consistía en la contratación de servicios con personas naturales para el logro de los objetivos de la Entidad y la consecución de los proyectos de cada dependencia.</t>
  </si>
  <si>
    <t>Febrero:
Durante el mes de febrero se suscribieron un total de 194 contratos, entre los cuales 184 corresponden a contratos de prestación de servicios profesionales o de apoyo a la gestión, 6 contratos de arrendamiento, 1 contrato interadministrativo, 6 contratos de arrendamiento, 2 contrataciones con distribuidor exclusivo y la suscripción de 1 orden de compra. Por lo que, sumado a lo contratado en el mes de enero genera una importante ejecución presupuestal que para el mes es en gastos de inversión represento un total de $20.090.446.378 (20,8%) y $8.704.537.820 (17,4%) en gastos de funcionamiento. De acuerdo con lo señalado, en el mes de febrero se cumplió con lo programado, observando que la contratación de prestación de servicios con personas naturales continúo siendo una de las más representativas para este mes de acuerdo con las necesidades de la Entidad.</t>
  </si>
  <si>
    <t>Marzo: 
En el mes de marzo se presenta la gestión de 60 líneas del Plan Anual de Adquisiciones representadas en 53 contratos de prestación de servicios profesionales o de apoyo a la gestión, 2 contratos de arrendamiento,1 donación,1 proceso por la modalidad de mínima cuantía, la suscripción de 1 contrato bajo el Decreto 092 de 2017 y la suscripción de una orden de compra. Lo anterior obedece a que las dependencias se encontraban estructurando los procesos de selección que al mes de marzo no habían radicado. Razón por la cual se inició con mesas de trabajo con todas las áreas en donde se realizó el monitoreo frente a la fecha posible de radicación de los procesos en la Dirección de Contratación a fin de generar alertas tempranas para las dependencias y el acompañamiento a las mismas, principalmente en la revisión del análisis del sector y diferentes aspectos técnicos necesarios para garantizar la pluralidad en los procesos. No obstante, la ejecución presupuestal es óptima para el mes de marzo, representada en $32.694.375.814 (33,8%) en gastos de funcionamiento y $ 27.330.414.312 (25,4%) en inversión.</t>
  </si>
  <si>
    <t>Abril
En el mes de abril, se presenta la gestión de 56 líneas del Plan Anual de Adquisiciones representadas en 46 contratos de prestación de servicios profesionales o de apoyo a la gestión, 1 contrato de arrendamiento, 1 Convenio Interadministrativo, 1contrato interadministrativo, 3 procesos en la modalidad de mínima cuantía, 2 subastas inversas Electrónicas, y 1 menor cuantía. Dicho decrecimiento en el número de solicitudes contractuales se debió principalmente al confinamiento obligatorio derivado del estado de emergencia por la pandemia de COVID-19 y la imposibilidad para varias dependencias en adelantar estudios de mercado pues los sectores económicos se encontraban cerrados. No obstante, se buscaron mecanismos para continuar con la programación inicial del Plan Anual de Adquisiciones y se establecieron procedimientos para acompañar a las dependencias de manera remota. No obstante, a la contingencia en el mes se observa un comportamiento optimo en la ejecución presupuestal siendo para los gastos de funcionamiento de $38.302.590.718 (39,6%) y $36.189.502.989 (33,6%) en gastos de inversión.</t>
  </si>
  <si>
    <t xml:space="preserve">Mayo
Para el mes de mayo se observa la gestión de 59 líneas del Plan Anual de Adquisiciones representadas en 59 contratos de prestación de servicios profesionales o de apoyo a la gestión, 1 Concurso de méritos, 1 directa por exclusividad, 1 donación,1 selección abreviada por literal h, 5 procesos en la modalidad de mínima cuantía y 11 órdenes de compra suscritas. Lo anterior, resulta de una gestión juiciosa de las dependencias a pesar de la contingencia generada en el mes de marzo con respecto a la pandemia. Se observa, la gestión de varios procesos de selección que fueron adjudicados en el mes de mayo y la gestión eficiente de las solicitudes de contratación que fueron radicadas en la Dirección de Contratación. En cuanto al comportamiento de ala ejecución presupuestal se observa que durante el mes de mayo se produjo una modificación presupuestal por recortes derivados de la pandemia, siendo el nuevo presupuesto de inversión de                          $99.564.019.024 y $94.884.732.429 por funcionamiento, en donde la ejecución fue de $45.971.090.419 (46,2%) y  $36.189.502.989 (38.1%) respectivamente.
</t>
  </si>
  <si>
    <t>Junio
Para el mes de junio se observa la gestión de 13 líneas del Plan Anual de Adquisiciones representadas en 7 procesos adelantados por medio de contratación directa, 1 Concurso de méritos, 1 licitación pública, 1 proceso en la modalidad de mínima cuantía y 3 subastas inversas electrónicas. Lo anterior, teniendo en cuenta que durante el mes de junio de 2020 la entidad se encontraba en proceso de armonización presupuestal y por lo tanto los procesos que serían adelantados con recursos de inversión quedaron suspendidos. Por lo anterior la gestión en materia contractual se centro en la ejecución de contratos generados por gastos de funcionamiento. En cuanto al comportamiento de la ejecución presupuestal se observa que durante el mes de junio había disponible $194.448.751.453 distribuidos en $94.884.732.429 correspondientes a gastos de funcionamiento y $99.564.019.024 que hacen parte del presupuesto de inversión,  de los cuales se observa una ejecución  de $55.877.137.402 (58,89%)  y $45.924.060.919 ( 46,13%) respectivamente, observando que para el mes de junio la entidad en total contaba con compromisos acumulados tanto en gasto de funcionamiento como de inversión en el orden de  $101.801.198.321 correspondiente  a una ejecución presupuestal del 52.35%.</t>
  </si>
  <si>
    <t>No se presentaron dificultades en el seguimiento a la
ejecución del PAA 2020  y de la ejecución presupuestal</t>
  </si>
  <si>
    <t>Se logró ejecutar el PAA 2020 de acuerdo a lo planeado, lo cual facilitó el inicio de operaciones de la vigencia sin contratiempos.</t>
  </si>
  <si>
    <t>Se logró ejecutar el PAA 2020 de acuerdo con lo planeado a pesar de la contingencia derivada por el covid, lo que permitió que las dependencias pudieran satisfacer las necesidades urgentes para el logro de los objetivos institucionales</t>
  </si>
  <si>
    <t>Se logró ejecutar el PAA 2020 de acuerdo con lo planeado, lo que permitió que las dependencias pudieran satisfacer las necesidades  para el logro de los objetivos institucionales</t>
  </si>
  <si>
    <t>No se programaron actividades para cierre en el mes.</t>
  </si>
  <si>
    <t>Ninguno</t>
  </si>
  <si>
    <t>Se realiza el cierre de:
1.	Capacitación: Cuerpo Sano.</t>
  </si>
  <si>
    <t>Se realiza el cierre de:
1.	Capacitación Equipo SST en la Resolución 0312 de 2019.</t>
  </si>
  <si>
    <t>Se realiza el cierre de:
1. Realizar el informe de Perfil sociodemográfico.</t>
  </si>
  <si>
    <r>
      <t xml:space="preserve"> Para el mes de junio, desde el procos de Gestión de Seguridad y Salud en el Trabajo se desarrollaron las siguientes actividades:
</t>
    </r>
    <r>
      <rPr>
        <b/>
        <sz val="11"/>
        <color theme="1"/>
        <rFont val="Calibri"/>
        <family val="2"/>
        <scheme val="minor"/>
      </rPr>
      <t xml:space="preserve">1. </t>
    </r>
    <r>
      <rPr>
        <sz val="11"/>
        <color theme="1"/>
        <rFont val="Calibri"/>
        <family val="2"/>
        <scheme val="minor"/>
      </rPr>
      <t xml:space="preserve">	Se realizo 18 afiliaciones a la ARL para los contratistas. _x000D_
</t>
    </r>
    <r>
      <rPr>
        <b/>
        <sz val="11"/>
        <color theme="1"/>
        <rFont val="Calibri"/>
        <family val="2"/>
        <scheme val="minor"/>
      </rPr>
      <t>2.</t>
    </r>
    <r>
      <rPr>
        <sz val="11"/>
        <color theme="1"/>
        <rFont val="Calibri"/>
        <family val="2"/>
        <scheme val="minor"/>
      </rPr>
      <t xml:space="preserve"> 	Desarrollo de reuniones mensuales de COPASST – 4 de junio de 2020_x000D_
</t>
    </r>
    <r>
      <rPr>
        <b/>
        <sz val="11"/>
        <color theme="1"/>
        <rFont val="Calibri"/>
        <family val="2"/>
        <scheme val="minor"/>
      </rPr>
      <t xml:space="preserve">3. </t>
    </r>
    <r>
      <rPr>
        <sz val="11"/>
        <color theme="1"/>
        <rFont val="Calibri"/>
        <family val="2"/>
        <scheme val="minor"/>
      </rPr>
      <t xml:space="preserve">	Se realiza 1 Investigaciones de accidente de trabajo, con la participación del COPASST. _x000D_
</t>
    </r>
    <r>
      <rPr>
        <b/>
        <sz val="11"/>
        <color theme="1"/>
        <rFont val="Calibri"/>
        <family val="2"/>
        <scheme val="minor"/>
      </rPr>
      <t xml:space="preserve">4. </t>
    </r>
    <r>
      <rPr>
        <sz val="11"/>
        <color theme="1"/>
        <rFont val="Calibri"/>
        <family val="2"/>
        <scheme val="minor"/>
      </rPr>
      <t xml:space="preserve">	Socialización Primeros Auxilios en presencialidad y en Casa. _x000D_
</t>
    </r>
    <r>
      <rPr>
        <b/>
        <sz val="11"/>
        <color theme="1"/>
        <rFont val="Calibri"/>
        <family val="2"/>
        <scheme val="minor"/>
      </rPr>
      <t xml:space="preserve">5. </t>
    </r>
    <r>
      <rPr>
        <sz val="11"/>
        <color theme="1"/>
        <rFont val="Calibri"/>
        <family val="2"/>
        <scheme val="minor"/>
      </rPr>
      <t xml:space="preserve">	Se realizaron 21 exámenes médico ocupacionales de ingreso, periódico, retiro. _x000D_
</t>
    </r>
    <r>
      <rPr>
        <b/>
        <sz val="11"/>
        <color theme="1"/>
        <rFont val="Calibri"/>
        <family val="2"/>
        <scheme val="minor"/>
      </rPr>
      <t xml:space="preserve">6. </t>
    </r>
    <r>
      <rPr>
        <sz val="11"/>
        <color theme="1"/>
        <rFont val="Calibri"/>
        <family val="2"/>
        <scheme val="minor"/>
      </rPr>
      <t xml:space="preserve">	Informe de Ausentismo_x000D_
</t>
    </r>
    <r>
      <rPr>
        <b/>
        <sz val="11"/>
        <color theme="1"/>
        <rFont val="Calibri"/>
        <family val="2"/>
        <scheme val="minor"/>
      </rPr>
      <t xml:space="preserve">7. </t>
    </r>
    <r>
      <rPr>
        <sz val="11"/>
        <color theme="1"/>
        <rFont val="Calibri"/>
        <family val="2"/>
        <scheme val="minor"/>
      </rPr>
      <t xml:space="preserve">	Programa de Modos, condiciones y estilos de vida y trabajo Saludable - Se realizo divulgación de pieza comunicacional de Cuerpo sano. Metodologías de autocuidado y nutrición. _x000D_
</t>
    </r>
    <r>
      <rPr>
        <b/>
        <sz val="11"/>
        <color theme="1"/>
        <rFont val="Calibri"/>
        <family val="2"/>
        <scheme val="minor"/>
      </rPr>
      <t xml:space="preserve">8. </t>
    </r>
    <r>
      <rPr>
        <sz val="11"/>
        <color theme="1"/>
        <rFont val="Calibri"/>
        <family val="2"/>
        <scheme val="minor"/>
      </rPr>
      <t xml:space="preserve">	Desarrollo de pausas activas virtuales y cognitivas, sensibilización de higiene postural e inspección de puesto de trabajo _x000D_
</t>
    </r>
    <r>
      <rPr>
        <b/>
        <sz val="11"/>
        <color theme="1"/>
        <rFont val="Calibri"/>
        <family val="2"/>
        <scheme val="minor"/>
      </rPr>
      <t xml:space="preserve">9. </t>
    </r>
    <r>
      <rPr>
        <sz val="11"/>
        <color theme="1"/>
        <rFont val="Calibri"/>
        <family val="2"/>
        <scheme val="minor"/>
      </rPr>
      <t xml:space="preserve">	Diseño de campaña para salud mental relacionado con noticias falsas y tele orientación psicológica. _x000D_
</t>
    </r>
    <r>
      <rPr>
        <b/>
        <sz val="11"/>
        <color theme="1"/>
        <rFont val="Calibri"/>
        <family val="2"/>
        <scheme val="minor"/>
      </rPr>
      <t xml:space="preserve">10. </t>
    </r>
    <r>
      <rPr>
        <sz val="11"/>
        <color theme="1"/>
        <rFont val="Calibri"/>
        <family val="2"/>
        <scheme val="minor"/>
      </rPr>
      <t xml:space="preserve">	Se generaron 3 accidentes laborales. _x000D_
</t>
    </r>
    <r>
      <rPr>
        <b/>
        <sz val="11"/>
        <color theme="1"/>
        <rFont val="Calibri"/>
        <family val="2"/>
        <scheme val="minor"/>
      </rPr>
      <t>11.</t>
    </r>
    <r>
      <rPr>
        <sz val="11"/>
        <color theme="1"/>
        <rFont val="Calibri"/>
        <family val="2"/>
        <scheme val="minor"/>
      </rPr>
      <t xml:space="preserve"> 	Se realizo 1 Investigación de accidente de trabajo. _x000D_
</t>
    </r>
    <r>
      <rPr>
        <b/>
        <sz val="11"/>
        <color theme="1"/>
        <rFont val="Calibri"/>
        <family val="2"/>
        <scheme val="minor"/>
      </rPr>
      <t>12.</t>
    </r>
    <r>
      <rPr>
        <sz val="11"/>
        <color theme="1"/>
        <rFont val="Calibri"/>
        <family val="2"/>
        <scheme val="minor"/>
      </rPr>
      <t xml:space="preserve"> 	Se tiene una participación de 27 sedes con un 44% de cubrimiento para el programa de orden y aseo. _x000D_
</t>
    </r>
    <r>
      <rPr>
        <b/>
        <sz val="11"/>
        <color theme="1"/>
        <rFont val="Calibri"/>
        <family val="2"/>
        <scheme val="minor"/>
      </rPr>
      <t>13.</t>
    </r>
    <r>
      <rPr>
        <sz val="11"/>
        <color theme="1"/>
        <rFont val="Calibri"/>
        <family val="2"/>
        <scheme val="minor"/>
      </rPr>
      <t xml:space="preserve"> 	Piezas comunicacionales del Programa de riesgo público. _x000D_
</t>
    </r>
    <r>
      <rPr>
        <b/>
        <sz val="11"/>
        <color theme="1"/>
        <rFont val="Calibri"/>
        <family val="2"/>
        <scheme val="minor"/>
      </rPr>
      <t>14.</t>
    </r>
    <r>
      <rPr>
        <sz val="11"/>
        <color theme="1"/>
        <rFont val="Calibri"/>
        <family val="2"/>
        <scheme val="minor"/>
      </rPr>
      <t xml:space="preserve"> 	Socialización de Protocolo de Bioseguridad con Recade, entidades y revisión de espacios de aislamiento. _x000D_
</t>
    </r>
    <r>
      <rPr>
        <b/>
        <sz val="11"/>
        <color theme="1"/>
        <rFont val="Calibri"/>
        <family val="2"/>
        <scheme val="minor"/>
      </rPr>
      <t>15.</t>
    </r>
    <r>
      <rPr>
        <sz val="11"/>
        <color theme="1"/>
        <rFont val="Calibri"/>
        <family val="2"/>
        <scheme val="minor"/>
      </rPr>
      <t xml:space="preserve"> 	Piezas comunicacionales del Programa de Prevención de Caídas a Nivel. _x000D_
</t>
    </r>
    <r>
      <rPr>
        <b/>
        <sz val="11"/>
        <color theme="1"/>
        <rFont val="Calibri"/>
        <family val="2"/>
        <scheme val="minor"/>
      </rPr>
      <t>16.</t>
    </r>
    <r>
      <rPr>
        <sz val="11"/>
        <color theme="1"/>
        <rFont val="Calibri"/>
        <family val="2"/>
        <scheme val="minor"/>
      </rPr>
      <t xml:space="preserve"> 	Programa de Protección Contra Caídas (Trabajo en Alturas). – Diligenciamiento de Formatos y procedimiento para trabajo seguro en alturas. _x000D_
</t>
    </r>
    <r>
      <rPr>
        <b/>
        <sz val="11"/>
        <color theme="1"/>
        <rFont val="Calibri"/>
        <family val="2"/>
        <scheme val="minor"/>
      </rPr>
      <t>17.</t>
    </r>
    <r>
      <rPr>
        <sz val="11"/>
        <color theme="1"/>
        <rFont val="Calibri"/>
        <family val="2"/>
        <scheme val="minor"/>
      </rPr>
      <t xml:space="preserve"> 	Actualización de Matriz de Madurez del Sistema de Gestión de Seguridad y Salud en el Trabajo. _x000D_
</t>
    </r>
    <r>
      <rPr>
        <b/>
        <sz val="11"/>
        <color theme="1"/>
        <rFont val="Calibri"/>
        <family val="2"/>
        <scheme val="minor"/>
      </rPr>
      <t>18.</t>
    </r>
    <r>
      <rPr>
        <sz val="11"/>
        <color theme="1"/>
        <rFont val="Calibri"/>
        <family val="2"/>
        <scheme val="minor"/>
      </rPr>
      <t xml:space="preserve"> 	Se realiza reunión el 5 junio con el Equipo de Trabajo del Proceso de Gestión de la Seguridad y Salud en el Trabajo. _x000D_
</t>
    </r>
    <r>
      <rPr>
        <b/>
        <sz val="11"/>
        <color theme="1"/>
        <rFont val="Calibri"/>
        <family val="2"/>
        <scheme val="minor"/>
      </rPr>
      <t xml:space="preserve">19. </t>
    </r>
    <r>
      <rPr>
        <sz val="11"/>
        <color theme="1"/>
        <rFont val="Calibri"/>
        <family val="2"/>
        <scheme val="minor"/>
      </rPr>
      <t xml:space="preserve">	Se adopta el Procedimiento de Gestión del Cambio para las acciones en Seguridad y Salud en el Trabajo. _x000D_
</t>
    </r>
  </si>
  <si>
    <t>No aplica para este mes</t>
  </si>
  <si>
    <t>Se desarrolla el informe de gestión de la vigencia 2019, se tiene pendiente el proceso de divulgación con la alta dirección según modificaciones solicitadas por la Dirección de Talento Humano.</t>
  </si>
  <si>
    <t>Se reprograma mesa laboral para revisión de casos debido a solicitud de los profesionales médicos de la ARL, por atención en periodo de pandemia por el virus Sars CoV2 – COVID19.</t>
  </si>
  <si>
    <t>Garantizar la divulgación del informe de rendición de cuentas de la vigencia 2019 para retroalimentación por la alta dirección y mejoramiento del Sistema de Gestión de la Seguridad y Salud en el Trabajo.</t>
  </si>
  <si>
    <t>Establecer una cultura de autocuidado, y de las medidas de prevención para la mitigación de contagio por Sars CoV 2 / COVID 19.</t>
  </si>
  <si>
    <t>Garantizar la actualización legal de los estándares mínimos y generar lineamientos para el desarrollo de la actualización del sistema de gestión de SST.</t>
  </si>
  <si>
    <t>Determinar las características mas comunes que conforman la población de la entidad, para orientar los programas de SST y toma de decisiones relacionadas con la emergencia sanitaria.</t>
  </si>
  <si>
    <r>
      <t xml:space="preserve">Los beneficios identificados son:_x000D_
</t>
    </r>
    <r>
      <rPr>
        <b/>
        <sz val="11"/>
        <color theme="1"/>
        <rFont val="Calibri"/>
        <family val="2"/>
        <scheme val="minor"/>
      </rPr>
      <t>1.</t>
    </r>
    <r>
      <rPr>
        <sz val="11"/>
        <color theme="1"/>
        <rFont val="Calibri"/>
        <family val="2"/>
        <scheme val="minor"/>
      </rPr>
      <t xml:space="preserve"> 	Garantizar el cubrimiento por la ARL para los contratistas de la entidad._x000D_
</t>
    </r>
    <r>
      <rPr>
        <b/>
        <sz val="11"/>
        <color theme="1"/>
        <rFont val="Calibri"/>
        <family val="2"/>
        <scheme val="minor"/>
      </rPr>
      <t xml:space="preserve">2. </t>
    </r>
    <r>
      <rPr>
        <sz val="11"/>
        <color theme="1"/>
        <rFont val="Calibri"/>
        <family val="2"/>
        <scheme val="minor"/>
      </rPr>
      <t xml:space="preserve">	Garantizar el cumplimiento de la legislación legal vigente._x000D_
</t>
    </r>
    <r>
      <rPr>
        <b/>
        <sz val="11"/>
        <color theme="1"/>
        <rFont val="Calibri"/>
        <family val="2"/>
        <scheme val="minor"/>
      </rPr>
      <t xml:space="preserve">3. </t>
    </r>
    <r>
      <rPr>
        <sz val="11"/>
        <color theme="1"/>
        <rFont val="Calibri"/>
        <family val="2"/>
        <scheme val="minor"/>
      </rPr>
      <t xml:space="preserve">	Identificar las causas de la accidentalidad de la entidad para generar metodologías de minimización de los accidentes laborales._x000D_
</t>
    </r>
    <r>
      <rPr>
        <b/>
        <sz val="11"/>
        <color theme="1"/>
        <rFont val="Calibri"/>
        <family val="2"/>
        <scheme val="minor"/>
      </rPr>
      <t xml:space="preserve">4. </t>
    </r>
    <r>
      <rPr>
        <sz val="11"/>
        <color theme="1"/>
        <rFont val="Calibri"/>
        <family val="2"/>
        <scheme val="minor"/>
      </rPr>
      <t xml:space="preserve">	Capacitar a los Brigadistas de Entidad ante situaciones de emergencia referentes al contagio por Sars CoV2 – COVID19._x000D_
</t>
    </r>
    <r>
      <rPr>
        <b/>
        <sz val="11"/>
        <color theme="1"/>
        <rFont val="Calibri"/>
        <family val="2"/>
        <scheme val="minor"/>
      </rPr>
      <t xml:space="preserve">5. </t>
    </r>
    <r>
      <rPr>
        <sz val="11"/>
        <color theme="1"/>
        <rFont val="Calibri"/>
        <family val="2"/>
        <scheme val="minor"/>
      </rPr>
      <t xml:space="preserve">	Apoyo Psicosocial, referente a situaciones de contagio por Sars CoV2 – COVID19._x000D_
</t>
    </r>
    <r>
      <rPr>
        <b/>
        <sz val="11"/>
        <color theme="1"/>
        <rFont val="Calibri"/>
        <family val="2"/>
        <scheme val="minor"/>
      </rPr>
      <t xml:space="preserve">6. </t>
    </r>
    <r>
      <rPr>
        <sz val="11"/>
        <color theme="1"/>
        <rFont val="Calibri"/>
        <family val="2"/>
        <scheme val="minor"/>
      </rPr>
      <t xml:space="preserve">	Medición del ausentismo por incapacidad para desarrollar actividades de prevención y promoción de la salud._x000D_
</t>
    </r>
    <r>
      <rPr>
        <b/>
        <sz val="11"/>
        <color theme="1"/>
        <rFont val="Calibri"/>
        <family val="2"/>
        <scheme val="minor"/>
      </rPr>
      <t xml:space="preserve">7. </t>
    </r>
    <r>
      <rPr>
        <sz val="11"/>
        <color theme="1"/>
        <rFont val="Calibri"/>
        <family val="2"/>
        <scheme val="minor"/>
      </rPr>
      <t xml:space="preserve">	Desarrollo de actividades que ayuden a disminuir el riesgo osteomuscular._x000D_
</t>
    </r>
    <r>
      <rPr>
        <b/>
        <sz val="11"/>
        <color theme="1"/>
        <rFont val="Calibri"/>
        <family val="2"/>
        <scheme val="minor"/>
      </rPr>
      <t xml:space="preserve">8. </t>
    </r>
    <r>
      <rPr>
        <sz val="11"/>
        <color theme="1"/>
        <rFont val="Calibri"/>
        <family val="2"/>
        <scheme val="minor"/>
      </rPr>
      <t xml:space="preserve">	Capacitar a colaboradores en el programa de prevención contra caídas._x000D_
</t>
    </r>
    <r>
      <rPr>
        <b/>
        <sz val="11"/>
        <color theme="1"/>
        <rFont val="Calibri"/>
        <family val="2"/>
        <scheme val="minor"/>
      </rPr>
      <t xml:space="preserve">9. </t>
    </r>
    <r>
      <rPr>
        <sz val="11"/>
        <color theme="1"/>
        <rFont val="Calibri"/>
        <family val="2"/>
        <scheme val="minor"/>
      </rPr>
      <t xml:space="preserve">	Garantizar un procedimiento de gestión de cambio._x000D_
</t>
    </r>
    <r>
      <rPr>
        <b/>
        <sz val="11"/>
        <color theme="1"/>
        <rFont val="Calibri"/>
        <family val="2"/>
        <scheme val="minor"/>
      </rPr>
      <t xml:space="preserve">10. </t>
    </r>
    <r>
      <rPr>
        <sz val="11"/>
        <color theme="1"/>
        <rFont val="Calibri"/>
        <family val="2"/>
        <scheme val="minor"/>
      </rPr>
      <t xml:space="preserve">	Realizar seguimiento a las condiciones de salud de los Servidores(as) públicos(as) de la entidad._x000D_
</t>
    </r>
    <r>
      <rPr>
        <b/>
        <sz val="11"/>
        <color theme="1"/>
        <rFont val="Calibri"/>
        <family val="2"/>
        <scheme val="minor"/>
      </rPr>
      <t xml:space="preserve">11. </t>
    </r>
    <r>
      <rPr>
        <sz val="11"/>
        <color theme="1"/>
        <rFont val="Calibri"/>
        <family val="2"/>
        <scheme val="minor"/>
      </rPr>
      <t xml:space="preserve">	Seguimiento a la Madurez del Sistema de Gestión de Seguridad y Salud en el Trabajo en la entidad_x000D_
</t>
    </r>
    <r>
      <rPr>
        <b/>
        <sz val="11"/>
        <color theme="1"/>
        <rFont val="Calibri"/>
        <family val="2"/>
        <scheme val="minor"/>
      </rPr>
      <t xml:space="preserve">12. </t>
    </r>
    <r>
      <rPr>
        <sz val="11"/>
        <color theme="1"/>
        <rFont val="Calibri"/>
        <family val="2"/>
        <scheme val="minor"/>
      </rPr>
      <t xml:space="preserve">	Seguimiento de las actividades del SG-SST con el Equipo de Trabajo del Proceso._x000D_</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</si>
  <si>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No aplica para este mes
</t>
    </r>
    <r>
      <rPr>
        <b/>
        <sz val="11"/>
        <color theme="1"/>
        <rFont val="Calibri"/>
        <family val="2"/>
        <scheme val="minor"/>
      </rPr>
      <t>SST:</t>
    </r>
    <r>
      <rPr>
        <sz val="11"/>
        <color theme="1"/>
        <rFont val="Calibri"/>
        <family val="2"/>
        <scheme val="minor"/>
      </rPr>
      <t xml:space="preserve">
No aplica para este mes</t>
    </r>
  </si>
  <si>
    <r>
      <rPr>
        <b/>
        <sz val="11"/>
        <color theme="1"/>
        <rFont val="Calibri"/>
        <family val="2"/>
        <scheme val="minor"/>
      </rPr>
      <t>PIB:</t>
    </r>
    <r>
      <rPr>
        <sz val="11"/>
        <color theme="1"/>
        <rFont val="Calibri"/>
        <family val="2"/>
        <scheme val="minor"/>
      </rPr>
      <t xml:space="preserve">
1. Se realizó la jornada tributaria para servidores
</t>
    </r>
    <r>
      <rPr>
        <b/>
        <sz val="11"/>
        <color theme="1"/>
        <rFont val="Calibri"/>
        <family val="2"/>
        <scheme val="minor"/>
      </rPr>
      <t>PIC:</t>
    </r>
    <r>
      <rPr>
        <sz val="11"/>
        <color theme="1"/>
        <rFont val="Calibri"/>
        <family val="2"/>
        <scheme val="minor"/>
      </rPr>
      <t xml:space="preserve">
1. Induccion y Reinducción
</t>
    </r>
    <r>
      <rPr>
        <b/>
        <sz val="11"/>
        <color theme="1"/>
        <rFont val="Calibri"/>
        <family val="2"/>
        <scheme val="minor"/>
      </rPr>
      <t xml:space="preserve">SST:
</t>
    </r>
    <r>
      <rPr>
        <sz val="11"/>
        <color theme="1"/>
        <rFont val="Calibri"/>
        <family val="2"/>
        <scheme val="minor"/>
      </rPr>
      <t>Niguno</t>
    </r>
  </si>
  <si>
    <r>
      <rPr>
        <b/>
        <sz val="11"/>
        <color theme="1"/>
        <rFont val="Calibri"/>
        <family val="2"/>
        <scheme val="minor"/>
      </rPr>
      <t>PIB:</t>
    </r>
    <r>
      <rPr>
        <sz val="11"/>
        <color theme="1"/>
        <rFont val="Calibri"/>
        <family val="2"/>
        <scheme val="minor"/>
      </rPr>
      <t xml:space="preserve">
Se realizó la actividad Cuerpo Sano
</t>
    </r>
    <r>
      <rPr>
        <b/>
        <sz val="11"/>
        <color theme="1"/>
        <rFont val="Calibri"/>
        <family val="2"/>
        <scheme val="minor"/>
      </rPr>
      <t xml:space="preserve">
PIC:</t>
    </r>
    <r>
      <rPr>
        <sz val="11"/>
        <color theme="1"/>
        <rFont val="Calibri"/>
        <family val="2"/>
        <scheme val="minor"/>
      </rPr>
      <t xml:space="preserve">
No aplica para este mes
</t>
    </r>
    <r>
      <rPr>
        <b/>
        <sz val="11"/>
        <color theme="1"/>
        <rFont val="Calibri"/>
        <family val="2"/>
        <scheme val="minor"/>
      </rPr>
      <t>SST:</t>
    </r>
    <r>
      <rPr>
        <sz val="11"/>
        <color theme="1"/>
        <rFont val="Calibri"/>
        <family val="2"/>
        <scheme val="minor"/>
      </rPr>
      <t xml:space="preserve">
Capacitación: Cuerpo Sano.</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</si>
  <si>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1. Didacticas para una Ciudadania Inconforme
2. Gestion de Riesgos
3. SECOP  II
</t>
    </r>
    <r>
      <rPr>
        <b/>
        <sz val="11"/>
        <color theme="1"/>
        <rFont val="Calibri"/>
        <family val="2"/>
        <scheme val="minor"/>
      </rPr>
      <t>SST:</t>
    </r>
    <r>
      <rPr>
        <sz val="11"/>
        <color theme="1"/>
        <rFont val="Calibri"/>
        <family val="2"/>
        <scheme val="minor"/>
      </rPr>
      <t xml:space="preserve">
Capacitación Equipo SST en la Resolución 0312 de 2019.</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</si>
  <si>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1. Presupuesto público
</t>
    </r>
    <r>
      <rPr>
        <b/>
        <sz val="11"/>
        <color theme="1"/>
        <rFont val="Calibri"/>
        <family val="2"/>
        <scheme val="minor"/>
      </rPr>
      <t>SST:</t>
    </r>
    <r>
      <rPr>
        <sz val="11"/>
        <color theme="1"/>
        <rFont val="Calibri"/>
        <family val="2"/>
        <scheme val="minor"/>
      </rPr>
      <t xml:space="preserve">
Realizar el informe de Perfil sociodemográfico.</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</si>
  <si>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t>
    </r>
    <r>
      <rPr>
        <b/>
        <sz val="11"/>
        <color theme="1"/>
        <rFont val="Calibri"/>
        <family val="2"/>
        <scheme val="minor"/>
      </rPr>
      <t xml:space="preserve">1. </t>
    </r>
    <r>
      <rPr>
        <sz val="11"/>
        <color theme="1"/>
        <rFont val="Calibri"/>
        <family val="2"/>
        <scheme val="minor"/>
      </rPr>
      <t xml:space="preserve">Lenguaeje Claro.
</t>
    </r>
    <r>
      <rPr>
        <b/>
        <sz val="11"/>
        <color theme="1"/>
        <rFont val="Calibri"/>
        <family val="2"/>
        <scheme val="minor"/>
      </rPr>
      <t xml:space="preserve">2. </t>
    </r>
    <r>
      <rPr>
        <sz val="11"/>
        <color theme="1"/>
        <rFont val="Calibri"/>
        <family val="2"/>
        <scheme val="minor"/>
      </rPr>
      <t xml:space="preserve">Participación Ciudadana. 
</t>
    </r>
    <r>
      <rPr>
        <b/>
        <sz val="11"/>
        <color theme="1"/>
        <rFont val="Calibri"/>
        <family val="2"/>
        <scheme val="minor"/>
      </rPr>
      <t xml:space="preserve">3. </t>
    </r>
    <r>
      <rPr>
        <sz val="11"/>
        <color theme="1"/>
        <rFont val="Calibri"/>
        <family val="2"/>
        <scheme val="minor"/>
      </rPr>
      <t xml:space="preserve">MIPG.
</t>
    </r>
    <r>
      <rPr>
        <b/>
        <sz val="11"/>
        <color theme="1"/>
        <rFont val="Calibri"/>
        <family val="2"/>
        <scheme val="minor"/>
      </rPr>
      <t xml:space="preserve">4. </t>
    </r>
    <r>
      <rPr>
        <sz val="11"/>
        <color theme="1"/>
        <rFont val="Calibri"/>
        <family val="2"/>
        <scheme val="minor"/>
      </rPr>
      <t xml:space="preserve">Contratación Estatal.
</t>
    </r>
    <r>
      <rPr>
        <b/>
        <sz val="11"/>
        <color theme="1"/>
        <rFont val="Calibri"/>
        <family val="2"/>
        <scheme val="minor"/>
      </rPr>
      <t xml:space="preserve">5. </t>
    </r>
    <r>
      <rPr>
        <sz val="11"/>
        <color theme="1"/>
        <rFont val="Calibri"/>
        <family val="2"/>
        <scheme val="minor"/>
      </rPr>
      <t xml:space="preserve">Estretegias para el Desarrollo de CompetenciasEfectivas Humanas.
</t>
    </r>
    <r>
      <rPr>
        <b/>
        <sz val="11"/>
        <color theme="1"/>
        <rFont val="Calibri"/>
        <family val="2"/>
        <scheme val="minor"/>
      </rPr>
      <t xml:space="preserve">6. </t>
    </r>
    <r>
      <rPr>
        <sz val="11"/>
        <color theme="1"/>
        <rFont val="Calibri"/>
        <family val="2"/>
        <scheme val="minor"/>
      </rPr>
      <t xml:space="preserve">Innovación Pública.
</t>
    </r>
    <r>
      <rPr>
        <b/>
        <sz val="11"/>
        <color theme="1"/>
        <rFont val="Calibri"/>
        <family val="2"/>
        <scheme val="minor"/>
      </rPr>
      <t xml:space="preserve">7. </t>
    </r>
    <r>
      <rPr>
        <sz val="11"/>
        <color theme="1"/>
        <rFont val="Calibri"/>
        <family val="2"/>
        <scheme val="minor"/>
      </rPr>
      <t xml:space="preserve">Sistema General de Pensiones.
</t>
    </r>
    <r>
      <rPr>
        <b/>
        <sz val="11"/>
        <color theme="1"/>
        <rFont val="Calibri"/>
        <family val="2"/>
        <scheme val="minor"/>
      </rPr>
      <t xml:space="preserve">8. </t>
    </r>
    <r>
      <rPr>
        <sz val="11"/>
        <color theme="1"/>
        <rFont val="Calibri"/>
        <family val="2"/>
        <scheme val="minor"/>
      </rPr>
      <t xml:space="preserve">Inducción Servidores.
</t>
    </r>
    <r>
      <rPr>
        <b/>
        <sz val="11"/>
        <color theme="1"/>
        <rFont val="Calibri"/>
        <family val="2"/>
        <scheme val="minor"/>
      </rPr>
      <t xml:space="preserve">9. </t>
    </r>
    <r>
      <rPr>
        <sz val="11"/>
        <color theme="1"/>
        <rFont val="Calibri"/>
        <family val="2"/>
        <scheme val="minor"/>
      </rPr>
      <t xml:space="preserve">MIPG_Marzo
</t>
    </r>
    <r>
      <rPr>
        <b/>
        <sz val="11"/>
        <color theme="1"/>
        <rFont val="Calibri"/>
        <family val="2"/>
        <scheme val="minor"/>
      </rPr>
      <t xml:space="preserve">10. </t>
    </r>
    <r>
      <rPr>
        <sz val="11"/>
        <color theme="1"/>
        <rFont val="Calibri"/>
        <family val="2"/>
        <scheme val="minor"/>
      </rPr>
      <t xml:space="preserve">Normatividad para conductores.
</t>
    </r>
    <r>
      <rPr>
        <b/>
        <sz val="11"/>
        <color theme="1"/>
        <rFont val="Calibri"/>
        <family val="2"/>
        <scheme val="minor"/>
      </rPr>
      <t xml:space="preserve">11. </t>
    </r>
    <r>
      <rPr>
        <sz val="11"/>
        <color theme="1"/>
        <rFont val="Calibri"/>
        <family val="2"/>
        <scheme val="minor"/>
      </rPr>
      <t xml:space="preserve">Presupuesto Público.
</t>
    </r>
    <r>
      <rPr>
        <b/>
        <sz val="11"/>
        <color theme="1"/>
        <rFont val="Calibri"/>
        <family val="2"/>
        <scheme val="minor"/>
      </rPr>
      <t xml:space="preserve">12. </t>
    </r>
    <r>
      <rPr>
        <sz val="11"/>
        <color theme="1"/>
        <rFont val="Calibri"/>
        <family val="2"/>
        <scheme val="minor"/>
      </rPr>
      <t xml:space="preserve">Familias Lactantes.
</t>
    </r>
    <r>
      <rPr>
        <b/>
        <sz val="11"/>
        <color theme="1"/>
        <rFont val="Calibri"/>
        <family val="2"/>
        <scheme val="minor"/>
      </rPr>
      <t xml:space="preserve">13. </t>
    </r>
    <r>
      <rPr>
        <sz val="11"/>
        <color theme="1"/>
        <rFont val="Calibri"/>
        <family val="2"/>
        <scheme val="minor"/>
      </rPr>
      <t xml:space="preserve">Bogotá te Escucha.
</t>
    </r>
    <r>
      <rPr>
        <b/>
        <sz val="11"/>
        <color theme="1"/>
        <rFont val="Calibri"/>
        <family val="2"/>
        <scheme val="minor"/>
      </rPr>
      <t xml:space="preserve">SST:
1.  </t>
    </r>
    <r>
      <rPr>
        <sz val="11"/>
        <color theme="1"/>
        <rFont val="Calibri"/>
        <family val="2"/>
        <scheme val="minor"/>
      </rPr>
      <t xml:space="preserve">Se realizo 18 afiliaciones a la ARL para los contratistas. </t>
    </r>
    <r>
      <rPr>
        <b/>
        <sz val="11"/>
        <color theme="1"/>
        <rFont val="Calibri"/>
        <family val="2"/>
        <scheme val="minor"/>
      </rPr>
      <t xml:space="preserve">
2.  </t>
    </r>
    <r>
      <rPr>
        <sz val="11"/>
        <color theme="1"/>
        <rFont val="Calibri"/>
        <family val="2"/>
        <scheme val="minor"/>
      </rPr>
      <t>Desarrollo de reuniones mensuales de COPASST – 4 de junio de 2020.</t>
    </r>
    <r>
      <rPr>
        <b/>
        <sz val="11"/>
        <color theme="1"/>
        <rFont val="Calibri"/>
        <family val="2"/>
        <scheme val="minor"/>
      </rPr>
      <t xml:space="preserve">
3. </t>
    </r>
    <r>
      <rPr>
        <sz val="11"/>
        <color theme="1"/>
        <rFont val="Calibri"/>
        <family val="2"/>
        <scheme val="minor"/>
      </rPr>
      <t xml:space="preserve"> Se realiza 1 Investigaciones de accidente de trabajo, con la participación del COPASST. </t>
    </r>
    <r>
      <rPr>
        <b/>
        <sz val="11"/>
        <color theme="1"/>
        <rFont val="Calibri"/>
        <family val="2"/>
        <scheme val="minor"/>
      </rPr>
      <t xml:space="preserve">
4.  </t>
    </r>
    <r>
      <rPr>
        <sz val="11"/>
        <color theme="1"/>
        <rFont val="Calibri"/>
        <family val="2"/>
        <scheme val="minor"/>
      </rPr>
      <t xml:space="preserve">Socialización Primeros Auxilios en presencialidad y en Casa. </t>
    </r>
    <r>
      <rPr>
        <b/>
        <sz val="11"/>
        <color theme="1"/>
        <rFont val="Calibri"/>
        <family val="2"/>
        <scheme val="minor"/>
      </rPr>
      <t xml:space="preserve">
5.  </t>
    </r>
    <r>
      <rPr>
        <sz val="11"/>
        <color theme="1"/>
        <rFont val="Calibri"/>
        <family val="2"/>
        <scheme val="minor"/>
      </rPr>
      <t xml:space="preserve">Se realizaron 21 exámenes médico ocupacionales de ingreso, periódico, retiro. </t>
    </r>
    <r>
      <rPr>
        <b/>
        <sz val="11"/>
        <color theme="1"/>
        <rFont val="Calibri"/>
        <family val="2"/>
        <scheme val="minor"/>
      </rPr>
      <t xml:space="preserve">
6.  </t>
    </r>
    <r>
      <rPr>
        <sz val="11"/>
        <color theme="1"/>
        <rFont val="Calibri"/>
        <family val="2"/>
        <scheme val="minor"/>
      </rPr>
      <t>Informe de Ausentismo.</t>
    </r>
    <r>
      <rPr>
        <b/>
        <sz val="11"/>
        <color theme="1"/>
        <rFont val="Calibri"/>
        <family val="2"/>
        <scheme val="minor"/>
      </rPr>
      <t xml:space="preserve">
7.  </t>
    </r>
    <r>
      <rPr>
        <sz val="11"/>
        <color theme="1"/>
        <rFont val="Calibri"/>
        <family val="2"/>
        <scheme val="minor"/>
      </rPr>
      <t>Programa de Modos, condiciones y estilos de vida y trabajo Saludable - Se realizo divulgación de pieza comunicacional de Cuerpo sano. Metodologías de autocuidado y nutrición.</t>
    </r>
    <r>
      <rPr>
        <b/>
        <sz val="11"/>
        <color theme="1"/>
        <rFont val="Calibri"/>
        <family val="2"/>
        <scheme val="minor"/>
      </rPr>
      <t xml:space="preserve"> 
8.  </t>
    </r>
    <r>
      <rPr>
        <sz val="11"/>
        <color theme="1"/>
        <rFont val="Calibri"/>
        <family val="2"/>
        <scheme val="minor"/>
      </rPr>
      <t>Desarrollo de pausas activas virtuales y cognitivas, sensibilización de higiene postural e inspección de puesto de trabajo.</t>
    </r>
    <r>
      <rPr>
        <b/>
        <sz val="11"/>
        <color theme="1"/>
        <rFont val="Calibri"/>
        <family val="2"/>
        <scheme val="minor"/>
      </rPr>
      <t xml:space="preserve"> 
9.  </t>
    </r>
    <r>
      <rPr>
        <sz val="11"/>
        <color theme="1"/>
        <rFont val="Calibri"/>
        <family val="2"/>
        <scheme val="minor"/>
      </rPr>
      <t xml:space="preserve">Diseño de campaña para salud mental relacionado con noticias falsas y tele orientación psicológica. </t>
    </r>
    <r>
      <rPr>
        <b/>
        <sz val="11"/>
        <color theme="1"/>
        <rFont val="Calibri"/>
        <family val="2"/>
        <scheme val="minor"/>
      </rPr>
      <t xml:space="preserve">
10. </t>
    </r>
    <r>
      <rPr>
        <sz val="11"/>
        <color theme="1"/>
        <rFont val="Calibri"/>
        <family val="2"/>
        <scheme val="minor"/>
      </rPr>
      <t xml:space="preserve"> Se generaron 3 accidentes laborales. </t>
    </r>
    <r>
      <rPr>
        <b/>
        <sz val="11"/>
        <color theme="1"/>
        <rFont val="Calibri"/>
        <family val="2"/>
        <scheme val="minor"/>
      </rPr>
      <t xml:space="preserve">
11. </t>
    </r>
    <r>
      <rPr>
        <sz val="11"/>
        <color theme="1"/>
        <rFont val="Calibri"/>
        <family val="2"/>
        <scheme val="minor"/>
      </rPr>
      <t xml:space="preserve"> Se realizo 1 Investigación de accidente de trabajo. </t>
    </r>
    <r>
      <rPr>
        <b/>
        <sz val="11"/>
        <color theme="1"/>
        <rFont val="Calibri"/>
        <family val="2"/>
        <scheme val="minor"/>
      </rPr>
      <t xml:space="preserve">
12.  </t>
    </r>
    <r>
      <rPr>
        <sz val="11"/>
        <color theme="1"/>
        <rFont val="Calibri"/>
        <family val="2"/>
        <scheme val="minor"/>
      </rPr>
      <t xml:space="preserve">Se tiene una participación de 27 sedes con un 44% de cubrimiento para el programa de orden y aseo. </t>
    </r>
    <r>
      <rPr>
        <b/>
        <sz val="11"/>
        <color theme="1"/>
        <rFont val="Calibri"/>
        <family val="2"/>
        <scheme val="minor"/>
      </rPr>
      <t xml:space="preserve">
13.  </t>
    </r>
    <r>
      <rPr>
        <sz val="11"/>
        <color theme="1"/>
        <rFont val="Calibri"/>
        <family val="2"/>
        <scheme val="minor"/>
      </rPr>
      <t xml:space="preserve">Piezas comunicacionales del Programa de riesgo público. </t>
    </r>
    <r>
      <rPr>
        <b/>
        <sz val="11"/>
        <color theme="1"/>
        <rFont val="Calibri"/>
        <family val="2"/>
        <scheme val="minor"/>
      </rPr>
      <t xml:space="preserve">
14.  </t>
    </r>
    <r>
      <rPr>
        <sz val="11"/>
        <color theme="1"/>
        <rFont val="Calibri"/>
        <family val="2"/>
        <scheme val="minor"/>
      </rPr>
      <t xml:space="preserve">Socialización de Protocolo de Bioseguridad con Recade, entidades y revisión de espacios de aislamiento. </t>
    </r>
    <r>
      <rPr>
        <b/>
        <sz val="11"/>
        <color theme="1"/>
        <rFont val="Calibri"/>
        <family val="2"/>
        <scheme val="minor"/>
      </rPr>
      <t xml:space="preserve">
15. </t>
    </r>
    <r>
      <rPr>
        <sz val="11"/>
        <color theme="1"/>
        <rFont val="Calibri"/>
        <family val="2"/>
        <scheme val="minor"/>
      </rPr>
      <t xml:space="preserve"> Piezas comunicacionales del Programa de Prevención de Caídas a Nivel. </t>
    </r>
    <r>
      <rPr>
        <b/>
        <sz val="11"/>
        <color theme="1"/>
        <rFont val="Calibri"/>
        <family val="2"/>
        <scheme val="minor"/>
      </rPr>
      <t xml:space="preserve">
16. </t>
    </r>
    <r>
      <rPr>
        <sz val="11"/>
        <color theme="1"/>
        <rFont val="Calibri"/>
        <family val="2"/>
        <scheme val="minor"/>
      </rPr>
      <t xml:space="preserve"> Programa de Protección Contra Caídas (Trabajo en Alturas). – Diligenciamiento de Formatos y procedimiento para trabajo seguro en alturas. </t>
    </r>
    <r>
      <rPr>
        <b/>
        <sz val="11"/>
        <color theme="1"/>
        <rFont val="Calibri"/>
        <family val="2"/>
        <scheme val="minor"/>
      </rPr>
      <t xml:space="preserve">
17. </t>
    </r>
    <r>
      <rPr>
        <sz val="11"/>
        <color theme="1"/>
        <rFont val="Calibri"/>
        <family val="2"/>
        <scheme val="minor"/>
      </rPr>
      <t xml:space="preserve"> Actualización de Matriz de Madurez del Sistema de Gestión de Seguridad y Salud en el Trabajo. </t>
    </r>
    <r>
      <rPr>
        <b/>
        <sz val="11"/>
        <color theme="1"/>
        <rFont val="Calibri"/>
        <family val="2"/>
        <scheme val="minor"/>
      </rPr>
      <t xml:space="preserve">
18.  </t>
    </r>
    <r>
      <rPr>
        <sz val="11"/>
        <color theme="1"/>
        <rFont val="Calibri"/>
        <family val="2"/>
        <scheme val="minor"/>
      </rPr>
      <t xml:space="preserve">Se realiza reunión el 5 junio con el Equipo de Trabajo del Proceso de Gestión de la Seguridad y Salud en el Trabajo. </t>
    </r>
    <r>
      <rPr>
        <b/>
        <sz val="11"/>
        <color theme="1"/>
        <rFont val="Calibri"/>
        <family val="2"/>
        <scheme val="minor"/>
      </rPr>
      <t xml:space="preserve">
19.  </t>
    </r>
    <r>
      <rPr>
        <sz val="11"/>
        <color theme="1"/>
        <rFont val="Calibri"/>
        <family val="2"/>
        <scheme val="minor"/>
      </rPr>
      <t xml:space="preserve">Se adopta el Procedimiento de Gestión del Cambio para las acciones en Seguridad y Salud en el Trabajo. </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</si>
  <si>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 xml:space="preserve">
PIC:</t>
    </r>
    <r>
      <rPr>
        <sz val="11"/>
        <color theme="1"/>
        <rFont val="Calibri"/>
        <family val="2"/>
        <scheme val="minor"/>
      </rPr>
      <t xml:space="preserve">
No aplica para este mes
</t>
    </r>
    <r>
      <rPr>
        <b/>
        <sz val="11"/>
        <color theme="1"/>
        <rFont val="Calibri"/>
        <family val="2"/>
        <scheme val="minor"/>
      </rPr>
      <t>SST:</t>
    </r>
    <r>
      <rPr>
        <sz val="11"/>
        <color theme="1"/>
        <rFont val="Calibri"/>
        <family val="2"/>
        <scheme val="minor"/>
      </rPr>
      <t xml:space="preserve">
No aplica para este mes</t>
    </r>
  </si>
  <si>
    <r>
      <rPr>
        <b/>
        <sz val="11"/>
        <color theme="1"/>
        <rFont val="Calibri"/>
        <family val="2"/>
        <scheme val="minor"/>
      </rPr>
      <t>PIB:</t>
    </r>
    <r>
      <rPr>
        <sz val="11"/>
        <color theme="1"/>
        <rFont val="Calibri"/>
        <family val="2"/>
        <scheme val="minor"/>
      </rPr>
      <t xml:space="preserve">
Ninguno
</t>
    </r>
    <r>
      <rPr>
        <b/>
        <sz val="11"/>
        <color theme="1"/>
        <rFont val="Calibri"/>
        <family val="2"/>
        <scheme val="minor"/>
      </rPr>
      <t>PIC:</t>
    </r>
    <r>
      <rPr>
        <sz val="11"/>
        <color theme="1"/>
        <rFont val="Calibri"/>
        <family val="2"/>
        <scheme val="minor"/>
      </rPr>
      <t xml:space="preserve">
Ninguno
</t>
    </r>
    <r>
      <rPr>
        <b/>
        <sz val="11"/>
        <color theme="1"/>
        <rFont val="Calibri"/>
        <family val="2"/>
        <scheme val="minor"/>
      </rPr>
      <t>SST:</t>
    </r>
    <r>
      <rPr>
        <sz val="11"/>
        <color theme="1"/>
        <rFont val="Calibri"/>
        <family val="2"/>
        <scheme val="minor"/>
      </rPr>
      <t xml:space="preserve">
Se desarrolla el informe de gestión de la vigencia 2019, se tiene pendiente el proceso de divulgación con la alta dirección según modificaciones solicitadas por la Dirección de Talento Humano.</t>
    </r>
  </si>
  <si>
    <r>
      <rPr>
        <b/>
        <sz val="11"/>
        <color theme="1"/>
        <rFont val="Calibri"/>
        <family val="2"/>
        <scheme val="minor"/>
      </rPr>
      <t>PIB:</t>
    </r>
    <r>
      <rPr>
        <sz val="11"/>
        <color theme="1"/>
        <rFont val="Calibri"/>
        <family val="2"/>
        <scheme val="minor"/>
      </rPr>
      <t xml:space="preserve">
Ninguno
</t>
    </r>
    <r>
      <rPr>
        <b/>
        <sz val="11"/>
        <color theme="1"/>
        <rFont val="Calibri"/>
        <family val="2"/>
        <scheme val="minor"/>
      </rPr>
      <t>PIC:</t>
    </r>
    <r>
      <rPr>
        <sz val="11"/>
        <color theme="1"/>
        <rFont val="Calibri"/>
        <family val="2"/>
        <scheme val="minor"/>
      </rPr>
      <t xml:space="preserve">
No aplica para este mes
</t>
    </r>
    <r>
      <rPr>
        <b/>
        <sz val="11"/>
        <color theme="1"/>
        <rFont val="Calibri"/>
        <family val="2"/>
        <scheme val="minor"/>
      </rPr>
      <t>SST:</t>
    </r>
    <r>
      <rPr>
        <sz val="11"/>
        <color theme="1"/>
        <rFont val="Calibri"/>
        <family val="2"/>
        <scheme val="minor"/>
      </rPr>
      <t xml:space="preserve">
Ninguno</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</si>
  <si>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 xml:space="preserve">
PIC:</t>
    </r>
    <r>
      <rPr>
        <sz val="11"/>
        <color theme="1"/>
        <rFont val="Calibri"/>
        <family val="2"/>
        <scheme val="minor"/>
      </rPr>
      <t xml:space="preserve">
La capacitacion de Sistema integrado de conservación se reprogramo para Junio 2020, debido al cronograma realizado por la Subd técnica archivo de Bogotá con ocasion a la pandemia. Sin embargo, se realizó capacitación SECOP II en abril debido a la disponibilidad de tiempo de los servidores y capacitadores, cabe aclarar que está capacitación estaba programada para el mes de mayo.
</t>
    </r>
    <r>
      <rPr>
        <b/>
        <sz val="11"/>
        <color theme="1"/>
        <rFont val="Calibri"/>
        <family val="2"/>
        <scheme val="minor"/>
      </rPr>
      <t>SST:</t>
    </r>
    <r>
      <rPr>
        <sz val="11"/>
        <color theme="1"/>
        <rFont val="Calibri"/>
        <family val="2"/>
        <scheme val="minor"/>
      </rPr>
      <t xml:space="preserve">
Ninguno</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</si>
  <si>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1. Plan de Salvamento para el Acervo documental del Archivo de Bogotá, se reprogramo para Junio 2020, debido al cronograma realizado por la Subdirección técnica archivo de Bogotá con ocasión a la pandemia.
2. Competencias ciudadanas en seguridad vial, se reprogramo para Julio, debido a disponibilidad de los servidores.
3. Innovación pública, se reprogramo para junio, debido a que el DASCD en el mes de mayo no tenía aun programación.
4. Talks2020, 38° Congreso Nacional de Derecho Laboral y Seguridad Social, fue Cancelado debido a la Pandemia, no se recibió notificación de reprogramación.
5. SECOP II se realizó en el mes de abril.
</t>
    </r>
    <r>
      <rPr>
        <b/>
        <sz val="11"/>
        <color theme="1"/>
        <rFont val="Calibri"/>
        <family val="2"/>
        <scheme val="minor"/>
      </rPr>
      <t>SST:</t>
    </r>
    <r>
      <rPr>
        <sz val="11"/>
        <color theme="1"/>
        <rFont val="Calibri"/>
        <family val="2"/>
        <scheme val="minor"/>
      </rPr>
      <t xml:space="preserve">
Ninguno</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</si>
  <si>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 xml:space="preserve">PIC:
</t>
    </r>
    <r>
      <rPr>
        <sz val="11"/>
        <color theme="1"/>
        <rFont val="Calibri"/>
        <family val="2"/>
        <scheme val="minor"/>
      </rPr>
      <t xml:space="preserve">No aplica para este mes.
</t>
    </r>
    <r>
      <rPr>
        <b/>
        <sz val="11"/>
        <color theme="1"/>
        <rFont val="Calibri"/>
        <family val="2"/>
        <scheme val="minor"/>
      </rPr>
      <t>SST:</t>
    </r>
    <r>
      <rPr>
        <sz val="11"/>
        <color theme="1"/>
        <rFont val="Calibri"/>
        <family val="2"/>
        <scheme val="minor"/>
      </rPr>
      <t xml:space="preserve">
No aplica para este mes.
</t>
    </r>
    <r>
      <rPr>
        <b/>
        <sz val="11"/>
        <color theme="1"/>
        <rFont val="Calibri"/>
        <family val="2"/>
        <scheme val="minor"/>
      </rPr>
      <t/>
    </r>
  </si>
  <si>
    <r>
      <rPr>
        <b/>
        <sz val="11"/>
        <color theme="1"/>
        <rFont val="Calibri"/>
        <family val="2"/>
        <scheme val="minor"/>
      </rPr>
      <t>PIB:</t>
    </r>
    <r>
      <rPr>
        <sz val="11"/>
        <color theme="1"/>
        <rFont val="Calibri"/>
        <family val="2"/>
        <scheme val="minor"/>
      </rPr>
      <t xml:space="preserve">
Los servidores de la entidad, sin tener que realizar desplazamientos adicionales, pudieron acceder a la información tributaria personal. Generando apropiación por la ciudad.
</t>
    </r>
    <r>
      <rPr>
        <b/>
        <sz val="11"/>
        <color theme="1"/>
        <rFont val="Calibri"/>
        <family val="2"/>
        <scheme val="minor"/>
      </rPr>
      <t>PIC:</t>
    </r>
    <r>
      <rPr>
        <sz val="11"/>
        <color theme="1"/>
        <rFont val="Calibri"/>
        <family val="2"/>
        <scheme val="minor"/>
      </rPr>
      <t xml:space="preserve">
Facilitar y fortalecer la integración de los servidores a la cultura organizacional. 
</t>
    </r>
    <r>
      <rPr>
        <b/>
        <sz val="11"/>
        <color theme="1"/>
        <rFont val="Calibri"/>
        <family val="2"/>
        <scheme val="minor"/>
      </rPr>
      <t>SST:</t>
    </r>
    <r>
      <rPr>
        <sz val="11"/>
        <color theme="1"/>
        <rFont val="Calibri"/>
        <family val="2"/>
        <scheme val="minor"/>
      </rPr>
      <t xml:space="preserve">
Garantizar la divulgación del informe de rendición de cuentas de la vigencia 2019 para retroalimentación por la alta dirección y mejoramiento del Sistema de Gestión de la Seguridad y Salud en el Trabajo.</t>
    </r>
  </si>
  <si>
    <r>
      <rPr>
        <b/>
        <sz val="11"/>
        <color theme="1"/>
        <rFont val="Calibri"/>
        <family val="2"/>
        <scheme val="minor"/>
      </rPr>
      <t>PIB:</t>
    </r>
    <r>
      <rPr>
        <sz val="11"/>
        <color theme="1"/>
        <rFont val="Calibri"/>
        <family val="2"/>
        <scheme val="minor"/>
      </rPr>
      <t xml:space="preserve">
La actividad se realizó a través de los medios virtuales de comunicación de la entidad, enfocando el mensaje de la necesidad del cuerpo sano, dentro de la cuarentena a causa del Covid 2019.
</t>
    </r>
    <r>
      <rPr>
        <b/>
        <sz val="11"/>
        <color theme="1"/>
        <rFont val="Calibri"/>
        <family val="2"/>
        <scheme val="minor"/>
      </rPr>
      <t>PIC:</t>
    </r>
    <r>
      <rPr>
        <sz val="11"/>
        <color theme="1"/>
        <rFont val="Calibri"/>
        <family val="2"/>
        <scheme val="minor"/>
      </rPr>
      <t xml:space="preserve">
No aplica para este mes
</t>
    </r>
    <r>
      <rPr>
        <b/>
        <sz val="11"/>
        <color theme="1"/>
        <rFont val="Calibri"/>
        <family val="2"/>
        <scheme val="minor"/>
      </rPr>
      <t>SST:</t>
    </r>
    <r>
      <rPr>
        <sz val="11"/>
        <color theme="1"/>
        <rFont val="Calibri"/>
        <family val="2"/>
        <scheme val="minor"/>
      </rPr>
      <t xml:space="preserve">
Establecer una cultura de autocuidado, y de las medidas de prevención para la mitigación de contagio por Sars CoV 2 / COVID 19.</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</si>
  <si>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Fortalecer la gestión personal, desarrollando habilidades en la relación con la inteligencia social y promover cambios organizacionales en el actuar de los servidores públicos.
Brindar herramientas y técnicas que permitan implementar y gestionar los riesgos de la entidad, en el marco de los estándares y las mejores prácticas.
Desarrollar habilidades y destrezas para el manejo del SECOP II
</t>
    </r>
    <r>
      <rPr>
        <b/>
        <sz val="11"/>
        <color theme="1"/>
        <rFont val="Calibri"/>
        <family val="2"/>
        <scheme val="minor"/>
      </rPr>
      <t>SST:</t>
    </r>
    <r>
      <rPr>
        <sz val="11"/>
        <color theme="1"/>
        <rFont val="Calibri"/>
        <family val="2"/>
        <scheme val="minor"/>
      </rPr>
      <t xml:space="preserve">
Garantizar la actualización legal de los estándares mínimos y generar lineamientos para el desarrollo de la actualización del sistema de gestión de SST.</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</si>
  <si>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Fortalecer conocimientos y conceptos sobre Presupuesto Público que faciliten la toma de decisiones de todos los gobiernos territoriales, incluido el Distrito Capital de Bogotá. A través de esta herramienta se puede materializar y dar cumplimiento a los programas de gobierno, los planes de desarrollo y en fin poder impulsar y propiciar la satisfacción de necesidades básicas de la población y el desarrollo de los territorios.
</t>
    </r>
    <r>
      <rPr>
        <b/>
        <sz val="11"/>
        <color theme="1"/>
        <rFont val="Calibri"/>
        <family val="2"/>
        <scheme val="minor"/>
      </rPr>
      <t>SST:</t>
    </r>
    <r>
      <rPr>
        <sz val="11"/>
        <color theme="1"/>
        <rFont val="Calibri"/>
        <family val="2"/>
        <scheme val="minor"/>
      </rPr>
      <t xml:space="preserve">
Determinar las características mas comunes que conforman la población de la entidad, para orientar los programas de SST y toma de decisiones relacionadas con la emergencia sanitaria.</t>
    </r>
  </si>
  <si>
    <r>
      <rPr>
        <b/>
        <sz val="11"/>
        <color theme="1"/>
        <rFont val="Calibri"/>
        <family val="2"/>
        <scheme val="minor"/>
      </rPr>
      <t>PIB:</t>
    </r>
    <r>
      <rPr>
        <sz val="11"/>
        <color theme="1"/>
        <rFont val="Calibri"/>
        <family val="2"/>
        <scheme val="minor"/>
      </rPr>
      <t xml:space="preserve">
No aplica para este mes.
</t>
    </r>
    <r>
      <rPr>
        <b/>
        <sz val="11"/>
        <color theme="1"/>
        <rFont val="Calibri"/>
        <family val="2"/>
        <scheme val="minor"/>
      </rPr>
      <t>PIC:</t>
    </r>
    <r>
      <rPr>
        <sz val="11"/>
        <color theme="1"/>
        <rFont val="Calibri"/>
        <family val="2"/>
        <scheme val="minor"/>
      </rPr>
      <t xml:space="preserve">
</t>
    </r>
    <r>
      <rPr>
        <b/>
        <sz val="11"/>
        <color theme="1"/>
        <rFont val="Calibri"/>
        <family val="2"/>
        <scheme val="minor"/>
      </rPr>
      <t xml:space="preserve">a) </t>
    </r>
    <r>
      <rPr>
        <sz val="11"/>
        <color theme="1"/>
        <rFont val="Calibri"/>
        <family val="2"/>
        <scheme val="minor"/>
      </rPr>
      <t xml:space="preserve">Mejorar las habilidades comunicativas de los(as) Servidores(as) Públicos(as) y construir documentos comprensibles para el ciudadano.
</t>
    </r>
    <r>
      <rPr>
        <b/>
        <sz val="11"/>
        <color theme="1"/>
        <rFont val="Calibri"/>
        <family val="2"/>
        <scheme val="minor"/>
      </rPr>
      <t xml:space="preserve">b) </t>
    </r>
    <r>
      <rPr>
        <sz val="11"/>
        <color theme="1"/>
        <rFont val="Calibri"/>
        <family val="2"/>
        <scheme val="minor"/>
      </rPr>
      <t xml:space="preserve">Reconocer la importancia de la participación ciudadana para la construcción de tejido social.
</t>
    </r>
    <r>
      <rPr>
        <b/>
        <sz val="11"/>
        <color theme="1"/>
        <rFont val="Calibri"/>
        <family val="2"/>
        <scheme val="minor"/>
      </rPr>
      <t xml:space="preserve">C) </t>
    </r>
    <r>
      <rPr>
        <sz val="11"/>
        <color theme="1"/>
        <rFont val="Calibri"/>
        <family val="2"/>
        <scheme val="minor"/>
      </rPr>
      <t xml:space="preserve"> Afianzar los conocimientos de los(as) Servidores(as) Públicos(as) para desarrollar procesos de contratación de manera correcta, transparente y eficiente.
</t>
    </r>
    <r>
      <rPr>
        <b/>
        <sz val="11"/>
        <color theme="1"/>
        <rFont val="Calibri"/>
        <family val="2"/>
        <scheme val="minor"/>
      </rPr>
      <t>d)</t>
    </r>
    <r>
      <rPr>
        <sz val="11"/>
        <color theme="1"/>
        <rFont val="Calibri"/>
        <family val="2"/>
        <scheme val="minor"/>
      </rPr>
      <t xml:space="preserve"> Concienciar las habilidades para la vida del (la) Servidor(a) hacia buenas prácticas desde el desarrollo de competencias efectivas.
</t>
    </r>
    <r>
      <rPr>
        <b/>
        <sz val="11"/>
        <color theme="1"/>
        <rFont val="Calibri"/>
        <family val="2"/>
        <scheme val="minor"/>
      </rPr>
      <t xml:space="preserve">e) </t>
    </r>
    <r>
      <rPr>
        <sz val="11"/>
        <color theme="1"/>
        <rFont val="Calibri"/>
        <family val="2"/>
        <scheme val="minor"/>
      </rPr>
      <t xml:space="preserve">Afianzar los conocimientos respecto a la gestión de peticiones ciudadanas, y en el manejo y funcionalidades de Bogotá te escucha, con el fin de promover buenas prácticas para la atención de peticiones conforme a la Ley.
</t>
    </r>
    <r>
      <rPr>
        <b/>
        <sz val="11"/>
        <color theme="1"/>
        <rFont val="Calibri"/>
        <family val="2"/>
        <scheme val="minor"/>
      </rPr>
      <t xml:space="preserve">f) </t>
    </r>
    <r>
      <rPr>
        <sz val="11"/>
        <color theme="1"/>
        <rFont val="Calibri"/>
        <family val="2"/>
        <scheme val="minor"/>
      </rPr>
      <t xml:space="preserve">Promover la lactancia materna exclusiva durante los primeros años de vida, proporcionando así  a los niños y las niñas toda la energía y los nutrientes que necesitan protegiéndolos de enfermedades infecciosas y crónicas; y garantizando en la sala de lactancia las condiciones adecuadas para la extracción, mantenimiento y almacenamiento de la leche materna.
</t>
    </r>
    <r>
      <rPr>
        <b/>
        <sz val="11"/>
        <color theme="1"/>
        <rFont val="Calibri"/>
        <family val="2"/>
        <scheme val="minor"/>
      </rPr>
      <t xml:space="preserve">g) </t>
    </r>
    <r>
      <rPr>
        <sz val="11"/>
        <color theme="1"/>
        <rFont val="Calibri"/>
        <family val="2"/>
        <scheme val="minor"/>
      </rPr>
      <t xml:space="preserve">Dar a conocer la nueva normatividad a los conductores de la Entidad.
</t>
    </r>
    <r>
      <rPr>
        <b/>
        <sz val="11"/>
        <color theme="1"/>
        <rFont val="Calibri"/>
        <family val="2"/>
        <scheme val="minor"/>
      </rPr>
      <t>SST:</t>
    </r>
    <r>
      <rPr>
        <sz val="11"/>
        <color theme="1"/>
        <rFont val="Calibri"/>
        <family val="2"/>
        <scheme val="minor"/>
      </rPr>
      <t xml:space="preserve">
Los beneficios identificados son:
</t>
    </r>
    <r>
      <rPr>
        <b/>
        <sz val="11"/>
        <color theme="1"/>
        <rFont val="Calibri"/>
        <family val="2"/>
        <scheme val="minor"/>
      </rPr>
      <t>1.</t>
    </r>
    <r>
      <rPr>
        <sz val="11"/>
        <color theme="1"/>
        <rFont val="Calibri"/>
        <family val="2"/>
        <scheme val="minor"/>
      </rPr>
      <t xml:space="preserve"> Garantizar el cubrimiento por la ARL para los contratistas de la entidad.
</t>
    </r>
    <r>
      <rPr>
        <b/>
        <sz val="11"/>
        <color theme="1"/>
        <rFont val="Calibri"/>
        <family val="2"/>
        <scheme val="minor"/>
      </rPr>
      <t>2.</t>
    </r>
    <r>
      <rPr>
        <sz val="11"/>
        <color theme="1"/>
        <rFont val="Calibri"/>
        <family val="2"/>
        <scheme val="minor"/>
      </rPr>
      <t xml:space="preserve"> Garantizar el cumplimiento de la legislación legal vigente.
</t>
    </r>
    <r>
      <rPr>
        <b/>
        <sz val="11"/>
        <color theme="1"/>
        <rFont val="Calibri"/>
        <family val="2"/>
        <scheme val="minor"/>
      </rPr>
      <t>3.</t>
    </r>
    <r>
      <rPr>
        <sz val="11"/>
        <color theme="1"/>
        <rFont val="Calibri"/>
        <family val="2"/>
        <scheme val="minor"/>
      </rPr>
      <t xml:space="preserve"> Identificar las causas de la accidentalidad de la entidad para generar metodologías de minimización de los accidentes laborales.
</t>
    </r>
    <r>
      <rPr>
        <b/>
        <sz val="11"/>
        <color theme="1"/>
        <rFont val="Calibri"/>
        <family val="2"/>
        <scheme val="minor"/>
      </rPr>
      <t>4.</t>
    </r>
    <r>
      <rPr>
        <sz val="11"/>
        <color theme="1"/>
        <rFont val="Calibri"/>
        <family val="2"/>
        <scheme val="minor"/>
      </rPr>
      <t xml:space="preserve"> Capacitar a los Brigadistas de Entidad ante situaciones de emergencia referentes al contagio por Sars CoV2 – COVID19.
</t>
    </r>
    <r>
      <rPr>
        <b/>
        <sz val="11"/>
        <color theme="1"/>
        <rFont val="Calibri"/>
        <family val="2"/>
        <scheme val="minor"/>
      </rPr>
      <t>5.</t>
    </r>
    <r>
      <rPr>
        <sz val="11"/>
        <color theme="1"/>
        <rFont val="Calibri"/>
        <family val="2"/>
        <scheme val="minor"/>
      </rPr>
      <t xml:space="preserve"> Apoyo Psicosocial, referente a situaciones de contagio por Sars CoV2 – COVID19.
</t>
    </r>
    <r>
      <rPr>
        <b/>
        <sz val="11"/>
        <color theme="1"/>
        <rFont val="Calibri"/>
        <family val="2"/>
        <scheme val="minor"/>
      </rPr>
      <t>6.</t>
    </r>
    <r>
      <rPr>
        <sz val="11"/>
        <color theme="1"/>
        <rFont val="Calibri"/>
        <family val="2"/>
        <scheme val="minor"/>
      </rPr>
      <t xml:space="preserve"> Medición del ausentismo por incapacidad para desarrollar actividades de prevención y promoción de la salud.
</t>
    </r>
    <r>
      <rPr>
        <b/>
        <sz val="11"/>
        <color theme="1"/>
        <rFont val="Calibri"/>
        <family val="2"/>
        <scheme val="minor"/>
      </rPr>
      <t>7.</t>
    </r>
    <r>
      <rPr>
        <sz val="11"/>
        <color theme="1"/>
        <rFont val="Calibri"/>
        <family val="2"/>
        <scheme val="minor"/>
      </rPr>
      <t xml:space="preserve"> Desarrollo de actividades que ayuden a disminuir el riesgo osteomuscular.
</t>
    </r>
    <r>
      <rPr>
        <b/>
        <sz val="11"/>
        <color theme="1"/>
        <rFont val="Calibri"/>
        <family val="2"/>
        <scheme val="minor"/>
      </rPr>
      <t>8.</t>
    </r>
    <r>
      <rPr>
        <sz val="11"/>
        <color theme="1"/>
        <rFont val="Calibri"/>
        <family val="2"/>
        <scheme val="minor"/>
      </rPr>
      <t xml:space="preserve"> Capacitar a colaboradores en el programa de prevención contra caídas.
</t>
    </r>
    <r>
      <rPr>
        <b/>
        <sz val="11"/>
        <color theme="1"/>
        <rFont val="Calibri"/>
        <family val="2"/>
        <scheme val="minor"/>
      </rPr>
      <t>9.</t>
    </r>
    <r>
      <rPr>
        <sz val="11"/>
        <color theme="1"/>
        <rFont val="Calibri"/>
        <family val="2"/>
        <scheme val="minor"/>
      </rPr>
      <t xml:space="preserve"> Garantizar un procedimiento de gestión de cambio.
</t>
    </r>
    <r>
      <rPr>
        <b/>
        <sz val="11"/>
        <color theme="1"/>
        <rFont val="Calibri"/>
        <family val="2"/>
        <scheme val="minor"/>
      </rPr>
      <t>10.</t>
    </r>
    <r>
      <rPr>
        <sz val="11"/>
        <color theme="1"/>
        <rFont val="Calibri"/>
        <family val="2"/>
        <scheme val="minor"/>
      </rPr>
      <t xml:space="preserve"> Realizar seguimiento a las condiciones de salud de los Servidores(as) públicos(as) de la entidad.
</t>
    </r>
    <r>
      <rPr>
        <b/>
        <sz val="11"/>
        <color theme="1"/>
        <rFont val="Calibri"/>
        <family val="2"/>
        <scheme val="minor"/>
      </rPr>
      <t>11.</t>
    </r>
    <r>
      <rPr>
        <sz val="11"/>
        <color theme="1"/>
        <rFont val="Calibri"/>
        <family val="2"/>
        <scheme val="minor"/>
      </rPr>
      <t xml:space="preserve"> Seguimiento a la Madurez del Sistema de Gestión de Seguridad y Salud en el Trabajo en la entidad
</t>
    </r>
    <r>
      <rPr>
        <b/>
        <sz val="11"/>
        <color theme="1"/>
        <rFont val="Calibri"/>
        <family val="2"/>
        <scheme val="minor"/>
      </rPr>
      <t>12.</t>
    </r>
    <r>
      <rPr>
        <sz val="11"/>
        <color theme="1"/>
        <rFont val="Calibri"/>
        <family val="2"/>
        <scheme val="minor"/>
      </rPr>
      <t xml:space="preserve"> Seguimiento de las actividades del SG-SST con el Equipo de Trabajo del Proceso.
</t>
    </r>
  </si>
  <si>
    <t>Actualización del Plan Estratégico de Seguridad Vial de acuerdo con la normatividad vigente.</t>
  </si>
  <si>
    <t>Se continúa con la actualización del Plan Estratégico de Seguridad Vial de acuerdo con la normatividad vigente y se da inicio a la planeación de campañas de sensibilización para los servidores de la entidad.</t>
  </si>
  <si>
    <t xml:space="preserve">Se continúo con la actualización del Plan Estratégico de Seguridad Vial de acuerdo con la normatividad vigente
Se planeo y ejecuto las campañas de sensibilización de Bicipensante en las sedes  Archivo de Bogotá y Manzana Liévano
Se consolidó y analizó el informe de consumo de combustible y los formatos de chequeo preoperacional de los vehículos del parque automotor 
Se realizó seguimiento a los incidentes de tránsito 
Consolidar y analizar el Informe mantenimiento vehículos.
</t>
  </si>
  <si>
    <t>Se actualizó el Plan Estratégico de Seguridad Vial de acuerdo con la normatividad vigente y se presentó el informe de gestión de este</t>
  </si>
  <si>
    <t>Para el mes de mayo no se tiene actividades programadas</t>
  </si>
  <si>
    <t>1. Se actualizó el PESV, se encuentra pendiente la publicación del mismo en la página de la Entidad. 2. Se realizó el informe de gestión, mas sin embargo el mismo no se ha finalizado debido a que falta información sobre los mantenimientos realizados la cual no ha sido entregada por la SSA. 3. La capacitación para los conductores presentó inconvenientes ya que debió ser virtual, se adjunta informe emitido por talento Humano - PIC. 4. Se realizarón las campañas de sensibilización de manera virtual debido a la contingencia sanitaria. 5. Se realizó la sensibilización en la reinduciión a los servidores de la Entidad, la cual fue virtual. 6. Se realizó el análisis de los consumos de combustible. 7. Se entregaron las planillas de chequeo preoperacional y se realizó el respectivo análisis. 8. No ha sido posible actualizar la información de los mantenimientos realizados para el mes de junio ya que la información no ha sido suministrada por la SSA. 9. Se instalarón los planos en la Sala de conductores para el análisis de rutas seguras. 10. Se realizó seguimiento a los veh´ciulos de la Entidad, los cuales no presentaron accidentes o incidentes de tránsito en el mes de Junio.</t>
  </si>
  <si>
    <t>El retraso que se ha tenido ha sido la diferencia de criterios entre  la oficina de planeación y la oficina de control interno con respecto al Comité de Seguridad Vial.
Se planteó como solución por parte de la DAF, realizar una reunión trimestral con un equipo de trabajo, para dar solución a las interpretaciones en loas 2 oficinas asesora.</t>
  </si>
  <si>
    <t>El retraso es debido a que el contratista no radicó la factura de los mantenimientos ejecutados en el mes de Junio, por consiguiente no fue posible tener acceso a la información, afectando el cumplimiento mensual en un 2%. 
Por necesidades del servicio los conductores no pudieron atender las actividades de la capacitación, afectando el cumplimiento mensual en un 5%.</t>
  </si>
  <si>
    <t>Acciones, estrategias y medidas actualizadas acorde a la normatividad legal vigente y a las necesidades de la entidad permitiendo así disminuir la accidentalidad en la Secretaría General</t>
  </si>
  <si>
    <t>Acciones, estrategias y medidas actualizadas acorde a la normatividad legal vigente y a las necesidades de la entidad permitiendo así disminuir la accidentalidad en la Secretaría General y un(os) servidor(es) con conocimientos en Seguridad Vial</t>
  </si>
  <si>
    <t>Acciones, estrategias y medidas actualizadas acorde a la normatividad legal vigente
Servidores sensibilizados sobre la importancia del autocuidado con los actores viales en el espacio público
Verificación de controles en el consumo de combustible en el parque automotor de la Secretaría
Verificación de los incidentes presentados con el fin de prevenir o reducir al mínimo el riesgo de incidentes y las consecuencias de estos</t>
  </si>
  <si>
    <t>Plan Estratégico de Seguridad Vial actualizado</t>
  </si>
  <si>
    <t>La mayoría de la información se encuentra al día, lo cual permite ejercer control sobre los consumos  y presentación de informes como lo es el de austeridad del gasto</t>
  </si>
  <si>
    <t xml:space="preserve">Se realizaron campañas de sensibilización para los diferentes programas establecidos en el tema Ambiental (energía, residuos, prácticas  sostenibles)
Se actualizó el seguimiento del consumo general y per cápita de los diferentes programas establecidos en el tema Ambiental (energía) en las sedes concertadas  con el fin de presentar los resultados en la mesa técnica en Gestión Ambiental.
Se promovieron diferentes actividades para los programas establecidos en el tema Ambiental (Agua, energía, residuos, prácticas  sostenibles) en las sedes concertadas
Se reportó  a la Secretaria Distrital de Ambiente, los avances relacionados a la implementación del PIGA y a la Unidad Administrativa Especial de Servicios Públicos UAESP- el aprovechamiento de residuos. I Trimestre </t>
  </si>
  <si>
    <t xml:space="preserve">Se realizaron campañas de sensibilización para los diferentes programas establecidos en el tema Ambiental (Agua, energía, residuos, prácticas  sostenibles)
Se actualizó el seguimiento del consumo general y per cápita de los diferentes programas establecidos en el tema Ambiental (Agua, energía) en las sedes concertadas  con el fin de presentar los resultados en la mesa técnica en Gestión Ambiental.
Se presentó a la mesa técnica de apoyo en Gestión Ambiental el reporte de revisión  de los diferentes temas ambientales esto con el fin de evaluar el cumplimiento de estos.
Se promovieron diferentes actividades para los programas establecidos en el tema Ambiental (Agua, energía, residuos, prácticas sostenibles) en las sedes concertadas </t>
  </si>
  <si>
    <t xml:space="preserve">Se realizaron campañas de sensibilización para los diferentes programas establecidos en el tema Ambiental (Agua, energía, residuos, prácticas y consumos sostenibles)
Se actualizó el seguimiento del consumo general y per cápita de los diferentes programas establecidos en el tema Ambiental (energía) en las sedes concertadas  con el fin de presentar los resultados en la mesa técnica en Gestión Ambiental.
Se presentó al equipo de Compras Públicas Sostenibles ante la Secretaría General en función de la verificación del cumplimiento de la guía CPS planteada por Minambiente 
Se promovieron diferentes actividades para los programas establecidos en el tema Ambiental (Agua, energía, residuos, prácticas y consumos sostenibles) en las sedes concertadas </t>
  </si>
  <si>
    <t xml:space="preserve">Se realizaron campañas de sensibilización para los diferentes programas establecidos en el tema Ambiental (Agua, energía, residuos, prácticas   sostenibles)
Se actualizó el seguimiento del consumo general y per cápita de los diferentes programas establecidos en el tema Ambiental (Agua, energía) en las sedes concertadas  con el fin de presentar los resultados en la mesa técnica en Gestión Ambiental.
Se reportó  a la Unidad Administrativa Especial de Servicios Públicos UAESP- el aprovechamiento de residuos. I Trimestre .
Se promovieron diferentes actividades para los programas establecidos en el tema Ambiental (Agua, energía, residuos, prácticas y consumos sostenibles) en las sedes concertadas 
</t>
  </si>
  <si>
    <t xml:space="preserve">Se realizaron campañas de sensibilización para los diferentes programas establecidos en el tema Ambiental (Agua, energía, residuos, prácticas y consumos sostenibles)
Se actualizó el seguimiento del consumo general y per cápita de los diferentes programas establecidos en el tema Ambiental (energía) en las sedes concertadas  con el fin de presentar los resultados en la mesa técnica en Gestión Ambiental.
Se presentó a la mesa técnica de apoyo en Gestión Ambiental el reporte de revisión  de los diferentes temas ambientales esto con el fin de evaluar el cumplimiento de estos.
Se promovieron diferentes actividades para los programas establecidos en el tema Ambiental (Agua, energía, residuos, prácticas y consumos sostenibles) en las sedes concertadas </t>
  </si>
  <si>
    <t>Se realizaron campañas de sensibilización para los diferentes programas establecidos en el tema Ambiental (Agua, energía, residuos)_x000D_
Se actualizó el seguimiento del consumo general y per cápita de los diferentes programas establecidos en el tema Ambiental (agua  y energía) en las sedes concertadas  con el fin de presentar los resultados en la mesa técnica en Gestión Ambiental._x000D_
Se desarrolló la semana ambiental virtual de la Entidad_x000D_
Se desarrolló la propuesta de política cero papel, la mesa trimestral de compras públcias sostenibles y las actividades de movilidad sostenible. Se promovió la gestión integral de residuos aprovechables y peligrosos y la entrega de los mismos asociación y gestor autorizado</t>
  </si>
  <si>
    <t xml:space="preserve">Servidores públicos sensibilizados en los diferentes programas establecidos en el tema Ambiental (energía, residuos, prácticas  sostenibles)
Seguimientos de consumo general y per cápita de los diferentes programas establecidos en el tema Ambiental (energía, ) 
Verificación del cumplimiento de  diferentes programas establecidos en el tema Ambiental (Agua, energía, residuos, prácticas y consumos sostenibles) entre otros 
Ejecución de las diferentes actividades establecidas en los programas Ambientales (Agua, energía, residuos, prácticas y consumos sostenibles) en las sedes concertadas 
Cumplimiento de reportes a entidades externas </t>
  </si>
  <si>
    <t xml:space="preserve">Servidores públicos sensibilizados en los diferentes programas establecidos en el tema Ambiental (Agua, energía, residuos, prácticas sostenibles)
Seguimientos de consumo general y per cápita de los diferentes programas establecidos en el tema Ambiental (Agua, energía) actualizados y presentados en la mesa técnica en Gestión Ambiental.
Verificación del cumplimiento de  diferentes programas establecidos en el tema Ambiental (Agua, energía, residuos, prácticas y consumos sostenibles) entre otros en la mesa técnica
Ejecución de las diferentes actividades establecidas en los programas Ambientales (Agua, energía, residuos, prácticas sostenibles) en las sedes concertadas </t>
  </si>
  <si>
    <t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(energía) 
Verificación del cumplimiento de  la guía CPS planteada por Minambiente  
Ejecución de las diferentes actividades establecidas en los programas Ambientales (Agua, energía, residuos, prácticas y consumos sostenibles) en las sedes concertadas </t>
  </si>
  <si>
    <t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(Agua, energía)
Verificación del cumplimiento de  diferentes programas establecidos en el tema Ambiental (Agua, energía, residuos, prácticas y consumos sostenibles) entre otros en la mesa técnica
Cumplimiento de reportes a entidades externas 
Ejecución de las diferentes actividades establecidas en los programas Ambientales (Agua, energía, residuos, prácticas y consumos sostenibles) en las sedes concertadas 
</t>
  </si>
  <si>
    <t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(energía) actualizados y presentados en la mesa técnica en Gestión Ambiental.
Verificación del cumplimiento de  diferentes programas establecidos en el tema Ambiental (Agua, energía, residuos, prácticas y consumos sostenibles) entre otros en la mesa técnica
Ejecución de las diferentes actividades establecidas en los programas Ambientales (Agua, energía, residuos, prácticas y consumos sostenibles) en las sedes concertadas </t>
  </si>
  <si>
    <t xml:space="preserve">Servidores públicos sensibilizados en los diferentes programas establecidos en el tema Ambiental (Agua, energía, residuos, prácticas y consumos sostenibles)_x000D_
Seguimientos de consumo general y per cápita de los diferentes programas establecidos en el tema Ambiental (energía y agua)_x000D_
Verificación del cumplimiento de  diferentes programas establecidos en el tema Ambiental (Agua, energía, residuos, prácticas y consumos sostenibles) entre otros_x000D_
Ejecución de las diferentes actividades establecidas en los programas Ambientales (Agua, energía, residuos, prácticas y consumos sostenibles) </t>
  </si>
  <si>
    <t>Se contó con el 100% de las evaluaciones calificadas, no se presentaron reclamaciones a los servicios prestados</t>
  </si>
  <si>
    <t xml:space="preserve">Para el mes de marzo se conto con información parcial hasta el 20 de marzo Teniendo en cuenta el aislamiento por el COVID-19, las solicitudes de servicios administrativos se han solicitado por teléfono y correo electrónico. Lo que no ha permitido hacer evaluaciones de los servicios 
</t>
  </si>
  <si>
    <t xml:space="preserve">Teniendo en cuenta el aislamiento por el COVID-19, las solicitudes de servicios administrativos se han solicitado por teléfono y correo electrónico. Lo que no ha permitido hacer evaluaciones de los servicios 
</t>
  </si>
  <si>
    <t xml:space="preserve">Se tien 11 solicitudes registradas en el sistema de servcios administrativos y 173 soliciudes por correo electronico , de los servcios prestados no se presentarón reclamaciones. </t>
  </si>
  <si>
    <t>Información adecuada para análisis estadístico</t>
  </si>
  <si>
    <t>Teniendo en cuenta el aislamiento por el COVID-19, la mayoria de solicitudes de servicios administrativos se han solicitado por teléfono y correo electrónico. Lo que no ha permitido hacer el total de  evaluaciones de los servicios</t>
  </si>
  <si>
    <t>El 22 de enero se remitió a las dependencias el memorando 3-2020-1712 con el cronograma de las visitas a realizar</t>
  </si>
  <si>
    <t>Se realizaron 15 visitas de acuerdo con lo programado</t>
  </si>
  <si>
    <t>Se realizaron 11 visitas de acuerdo con lo programado</t>
  </si>
  <si>
    <t>No se programaron visitas 
Mediante comunicación 3-2020-8744 se informó a las dependencias aplazamiento de las visitas por la emergencia sanitaria</t>
  </si>
  <si>
    <t>N.A.</t>
  </si>
  <si>
    <t>Se hizo necesario suspender y aplazar visitas programadas, por la emergencia sanitaria, se informó a las dependencias mediante 3-2020-8744. sin embargo se ha realizado asitencia técnica virtual por demanda</t>
  </si>
  <si>
    <t>Orientación tecnica relacionada con organización de archivos de gestión a las dependencias</t>
  </si>
  <si>
    <t>Se ha realizado asitencia técnica virtual por demanda, brinando orientación tecnica relacionada con organización de archivos de gestión a las dependencias</t>
  </si>
  <si>
    <t>Se reciben en total 277 solicitudes de las cuales 19 corresponden a ingreso de elementos, 37 a solicitud de elementos de consumo, 5 a solicitud de elementos devolutivos, 155 a traslado entre funcionarios y 61 traslado funcionario a bodega. De este total fueron atendidas dentro de los tiempos establecidos 233 solicitudes lo que corresponde a un 84%.</t>
  </si>
  <si>
    <t>Se reciben en total 440 solicitudes de las cuales 14 corresponden a ingreso de elementos, 28 a solicitud de elementos de consumo, 2 a solicitud de elementos devolutivos, 319 a traslado entre funcionarios y 77 traslado funcionario a bodega. De este total fueron atendidas dentro de los tiempos establecidos 418 solictudes lo que corresponde a un 95%.</t>
  </si>
  <si>
    <t>Se reciben en total 282 solicitudes de las cuales 3 corresponden a ingreso de elementos, 15 a solicitud de elementos de consumo, 223 a traslado entre funcionarios y 41 traslado funcionario a bodega. De este total fueron atendidas dentro de los tiempos establecidos 266 solicitudes lo que corresponde a un 94%.</t>
  </si>
  <si>
    <t>Se reciben en total 4 solicitudes de las cuales 1 corresponden a ingreso de elementos, 1 a solicitud de elementos de consumo, 2 a traslado funcionario a bodega. De este total fueron atendidas dentro de los tiempos establecidos 4 solicitudes lo que corresponde a un 100%.</t>
  </si>
  <si>
    <t>Se reciben en total 115 solicitudes de las cuales 3 corresponden a ingreso de elementos, 2 a solicitud de elementos de consumo, 94 a traslado entre funcionarios, 16 traslado funcionario a bodega. De este total fueron atendidas dentro de los tiempos establecidos 92 solicitudes, lo que corresponde a un 80%.</t>
  </si>
  <si>
    <t>Se reciben en tota 593 solicitudes de las cuales 10 corresponden a ingreso de elementos, 10 a solicitud de elementos de consumo, 540 a traslado entre funcionarios, 17  traslado funcionario a bodega. De este total fueron atendidas dentro de los tiempos establecidos 405 solicitudes, lo que corresponde a un 68%.</t>
  </si>
  <si>
    <t>Se presentaron solicitudes en el ultimo día para recepción que no permitio tramitar dentro del mismo mes.</t>
  </si>
  <si>
    <t>No se presentaron retrasos o dificutades</t>
  </si>
  <si>
    <t>Insuficiencia de personal para atender las solicitudes debido a vacancia de un cargo auxiliar y toma de vacaciones por parte de otro funcionario.</t>
  </si>
  <si>
    <t>Se evidencia la atención oportuna de las solicitudes de las diferentecs dependencias, las cuales se registran en el CI</t>
  </si>
  <si>
    <t>Se evidencia la atención oportuna de las solicitudes de las diferentes dependencias, las cuales se registran en el CI</t>
  </si>
  <si>
    <t>Se evidencia una satisfaccion del 100% por parte de los usuarios frente al servicio de entrega de elementos de consumo.</t>
  </si>
  <si>
    <t xml:space="preserve">Alto niveel de satisfacción por parte de las dierentes dependenicas de la entidad, a la hora de la entrega y recibo de elementos de consumo según las solicitudes recibidas. </t>
  </si>
  <si>
    <t>Se expidió la Circular Nro. 3 de 2020, con los Lineamientos Financieros para la vigencia 2020. Se establece los lineamientos para la administración de los recursos de la vigencia.</t>
  </si>
  <si>
    <t>Se crea la Guía Operativa para el manejo de cuentas por cobrar por concepto de incapacidades</t>
  </si>
  <si>
    <t>*Presentación oportuna por parte de las áreas para el tramite de cuentas.
*Establecer fechas para la presentación de información financiera como insumos a los estados financieros.
*Se establece el cronograma para reprogramación del PAC de la vigencia y reserva</t>
  </si>
  <si>
    <t>Permite resguardar los intereses económicos de la entidad frente a una posible perdida de esos derechos.</t>
  </si>
  <si>
    <t>Se efectuaron los pagos radicados aunque se tomo mas tiempo para su realización.</t>
  </si>
  <si>
    <t>Dado que este es un indicador es decreciente, se cumplió el promedio de días estimado en el trámite de cuentas</t>
  </si>
  <si>
    <t>En este mes se presentó dificultades en el cumplimiento de la meta establecida de 6 días, por motivos de parametrización del sistemas de Hacienda con los nuevos Ordenadores de Gasto, por cambio de administración.</t>
  </si>
  <si>
    <t xml:space="preserve">*Cumplimiento de las obligaciones contractuales que tiene la entidad.
* Se generó un porcentaje del pago acumulado correspondiente en 1,51% para la vigencia y 11,56% para los recursos de reserva </t>
  </si>
  <si>
    <t xml:space="preserve">*Cumplimiento de las obligaciones contractuales que tiene la entidad.
* Se generó un porcentaje acumulado del pago correspondiente en 4,10% para la vigencia y 26,19% para los recursos de reserva </t>
  </si>
  <si>
    <t xml:space="preserve">*Cumplimiento de las obligaciones contractuales que tiene la entidad.
* Se generó un porcentaje acumulado del pago correspondiente en 11,86% para la vigencia y 51,89% para los recursos de reserva </t>
  </si>
  <si>
    <t xml:space="preserve">*Cumplimiento de las obligaciones contractuales que tiene la entidad.
* Se generó un porcentaje acumulado del pago correspondiente en 31,34% para la vigencia y 77,45% para los recursos de reserva </t>
  </si>
  <si>
    <t>Se reportó para el trimestre un porcentaje en la ejecución acumulada del 29,38%. Ejecución de la Reserva 52,71%. PAC  ejecutado de vigencia 11,86% y del PAC de reserva 51,01% . Pasivos Exigibles por valor de $44,049,186</t>
  </si>
  <si>
    <t>Para el mes de abril: se reportó el porcentaje acumulado en la ejecución del 36,46% . Ejecución de la Reserva 64,61%. PAC acumulado de la vigencia 16,42% y PAC acumulado de la reserva 62,9%. Pasivos Exigibles por valor de $44,049,186</t>
  </si>
  <si>
    <t>Para el mes de mayo: se reportó el porcentaje acumulado en la ejecución del 45,52% . Ejecución de la Reserva 70,92%. PAC acumulado de la vigencia 22,51% y PAC acumulado de la reserva 69,08%. Pasivos Exigibles por valor de $44,049,186</t>
  </si>
  <si>
    <t>Para el mes de junio: se reportó el porcentaje acumulado en la ejecución del 52,35% . Ejecución de la Reserva 77,90%. PAC acumulado de la vigencia 31,34% y PAC acumulado de la reserva 77,45%. Y Pasivos Exigibles por valor de $44,049,186</t>
  </si>
  <si>
    <t>Informar el estado de la ejecución presupuestal de la entidad en el presupuesto de vigencia, reserva y de los compromisos fenecidos, para toma efectiva de decisiones.</t>
  </si>
  <si>
    <t>Se presenta el estado financiero del primer trimestre, reflejando la operatividad de la entidad. Atendiendo las nuevas directrices por el cambio de administración</t>
  </si>
  <si>
    <t>Difusión ante la Ciudadanía de los estados financieros de la Secretaría General de la Alcaldía Mayor de Bogotá.</t>
  </si>
  <si>
    <t>Hoja de retroalimentación a la programación y seguimiento de metas e indicadores. Vigencia 2020</t>
  </si>
  <si>
    <t>T1_C10</t>
  </si>
  <si>
    <t>T2_C10</t>
  </si>
  <si>
    <t>Periodo 1 (Enero-Mayo)</t>
  </si>
  <si>
    <t>Periodo 2 (Junio)</t>
  </si>
  <si>
    <t>ID_INDICADOR</t>
  </si>
  <si>
    <t>El reporte de las evidencias debería guardar correspondencia con el número de las actividades ejecutadas, de manera que sean fácilmente verificables. Por ejemplo, para el mes de enero se reportan 15 actividades realizadas de 15 programadas y en las 5 carpetas de evidencias se tienen 18 archivos; para el mes de marzo se reportan 12 de 12 y las evidencias en 2 carpetas contienen 24 archivos. De otra parte, el avance cualitativo no señala a qué actividades corresponde el avance del indicador, lo que podría facilitar el cotejo de evidencias.</t>
  </si>
  <si>
    <t>En el avance cualitativo no se relaciona el reporte de la oficina de control interno disciplinario sobre hechos de corrupción en el semestre y en las evidencias se incluye el reporte de la capacitación pero no las evidencias de su ejecución (presentación, lista de asistentes etc.). Se debería incluir en las evidencias según la programación del PAAC el entregable de la actividad prevista.</t>
  </si>
  <si>
    <t xml:space="preserve">El reporte de las evidencias debería guardar correspondencia con el número de las actividades ejecutadas, de manera que sean fácilmente verificables. Para el mes de mayo se reportan 2 actividades realizadas de 2 programadas y en una sola carpeta de evidencias que contiene 20 archivos. El avance cualitativo no señala a qué actividades corresponden el avance del indicador, lo que podría facilitar el cotejo de evidencias. Dado que se ha cumplido con el indicador no debería hacerse una declaración de dificultades en el avance. </t>
  </si>
  <si>
    <t>Niniguna</t>
  </si>
  <si>
    <t>Los beneficios deberían estar mas relacionados con el desarrollo de las actividades puntuales en cada mes. Teniendo en cuenta que se ha cumplido en cada mes con el resultado esperado para el indicador, no se deberían reportar dificultades, salvo que hayan representado un esfuerzo significativo para el desarrollo de las actividades del plan en el componente número 3. Las carpetas de las evidencias corresponden con el valor reportado del indicador y su contenido es acorde con el propósito del indicador.</t>
  </si>
  <si>
    <t>Tanto el avance cualitativo y los beneficios deberían estar mas relacionados con el desarrollo de las actividades puntuales en cada mes. Teniendo en cuenta que se ha cumplido en cada mes con el resultado esperado para el indicador, incluso se ha superado, no se deberían reportar dificultades. El reporte de las evidencias debería permitir verificar el número de actividades ejecutadas o al menos los grupos o paquetes que la componen.</t>
  </si>
  <si>
    <t>Debería reconsiderarse la cuantificación de los entregables de este componente del PAAC, ya que como se manifestó en el análisis de dificultades existen algunas actividades que son por demanda.</t>
  </si>
  <si>
    <t xml:space="preserve">El reporte de las evidencias debería guardar correspondencia con el número de las actividades ejecutadas, de manera que sean fácilmente verificables. De otra parte, el avance cualitativo no señala a qué actividades corresponde el avance del indicador, lo que podría facilitar el cotejo de evidencias. Tanto el avance cualitativo y los beneficios deberían estar mas relacionados con el desarrollo de las actividades puntuales en cada mes. Dado que se ha cumplido con el indicador no debería hacerse una declaración de dificultades en el avance. </t>
  </si>
  <si>
    <t xml:space="preserve">El reporte de las evidencias debería guardar correspondencia con el número de las actividades ejecutadas, de manera que sean fácilmente verificables. Para el mes de abril se reporta 1 actividad realizada de 1 programada y en una carpeta de evidencias que contiene 4 archivos. Dado que se ha cumplido con el indicador no debería hacerse una declaración de dificultades en el avance. </t>
  </si>
  <si>
    <t>ID_Criterio</t>
  </si>
  <si>
    <t>Criterio</t>
  </si>
  <si>
    <t>Descripción</t>
  </si>
  <si>
    <t>Se vinculó en el reporte las observaciones realizadas por OAP en las mesas realizadas, retroalimentaciones u otro canal de comunicación.</t>
  </si>
  <si>
    <t>Nivel de cumplimiento: programado vs ejecutado.</t>
  </si>
  <si>
    <t xml:space="preserve">Que sea suficiente implica que el reporte de (i) avances y logros, y (ii) beneficios obtenidos en el periodo den cuenta del cumplimiento del indicador.  (las dos condiciones deben cumplirse para considerarse el criterio como suficiente) </t>
  </si>
  <si>
    <t xml:space="preserve">Que tenga correspondencia implica que el reporte cualitativo del indicador de cuenta de la descripción del mismo. </t>
  </si>
  <si>
    <t>Relación lógica entre el avance cualitativo y el avance cuantitativo</t>
  </si>
  <si>
    <t>Relación entre las dificultades descritas en el avance cualitativo y el avance cuantitativo</t>
  </si>
  <si>
    <t>Consistencia entre las fuentes de verificación cargadas, y los avances cualitativo y cuantitativo del indicador.</t>
  </si>
  <si>
    <t>Oportunidad en la presentación del reporte</t>
  </si>
  <si>
    <t>Plan de asistencia técnica, para la implementación del ERP Distrital, ejecutado</t>
  </si>
  <si>
    <t>Marcela Andrea García Guerrero</t>
  </si>
  <si>
    <t>No se tienen observaciones.</t>
  </si>
  <si>
    <t>Bibiana Rodríguez González</t>
  </si>
  <si>
    <t>1. Se evidencia un avance cuantitativo del Indicador del 99% con corte a 31 de mayo 2020, teniendo en cuenta la justificación presentada a la Oficina Asesora de Planeación, mediante memorando con radicado No. 3-2020-9969._x000D_
_x000D_
2. Se solicita revisar la selección de la muestra. Según estimaciones, con 269 usuarios potenciales, con un estándar de margen de error de 5% y un nivel de confianza de 95 % es apropiado, obtener 159 encuestas completadas, y no 63, tal cómo se registra para el mes de enero de 2020. Siendo insuficiente también para los meses de febrero y marzo de 2020. Sin embargo, si no es viable encuestar 159 usuarios, porque implica una alta complejidad recoger y analizar todos esos datos, se puede realizar una elección probabilística o dirigida ya que no depende de la probabilidad sino de las características del objeto de estudio, pero lo anterior debe quedar especificado en la ficha de encuesta.</t>
  </si>
  <si>
    <t>Justificación presentada a la Oficina Asesora de Planeación, mediante memorando con radicado No. 3-2020-9969.</t>
  </si>
  <si>
    <t>Aun cuando el indicador tiene programación para el mes de junio se presenta avance de la gestión adelantada durante el periodo la cual está registrada a conformidad</t>
  </si>
  <si>
    <t>Para el periodo de reporte el indicador no presenta avance teniendo en cuenta que su programación es para el mes de junio</t>
  </si>
  <si>
    <t>Documentos técnicos para la implementación del Modelo Integrado de Planeación y Gestión - MIPG en las entidades distritales.</t>
  </si>
  <si>
    <t>Porcentaje de avance en la implementación del Banco de buenas prácticas en materia de transparencia en las entidades distritales</t>
  </si>
  <si>
    <t>Este indicador fue reportado como cumplido anticipadamente en el mes de abril de 2020.</t>
  </si>
  <si>
    <t>Porcentaje de avance en optimización de la Guía de Trámites y Servicios del Distrito</t>
  </si>
  <si>
    <t>Comunicaciones de seguimiento a peticiones vencidas en la  Secretaría  General y entidades distritales.</t>
  </si>
  <si>
    <t>Se podrían aportar a la evidencia del indicador los memorandos remisorios del seguimiento al PAAC que emiten las dependencias y en los cuales se relacionan los elementos que conforman la matriz de seguimiento.</t>
  </si>
  <si>
    <t xml:space="preserve">El reporte del indicador es adecuado en términos de coherencia y consistencia. El indicador presenta un cumplimiento del 100% </t>
  </si>
  <si>
    <t>C2. En atención a la reprogramación de auditorías, se requiere efectuar seguimiento periódico en el mes de junio, para efectivamente ejecutar las 22 auditorías programadas.</t>
  </si>
  <si>
    <t>C4 y C5. El avance reportado en la gestión corresponde al indicador 160B, lo cuál fue notificado por el lider del proceso mediante correo electrónico del 14 de julio.</t>
  </si>
  <si>
    <t>C3: Se atendió la observación de inluir en avance cuantitativo dentro del reporte de la gestión realizada.</t>
  </si>
  <si>
    <t>C4 y C5. El avance reportado en la gestión corresponde al indicador 160, lo cuál fue notificado por el lider del proceso mediante correo electrónico del 14 de julio.</t>
  </si>
  <si>
    <t>Nivel de satisfacción de los servicios protocolarios prestados</t>
  </si>
  <si>
    <t>Sandra Patricia Ortiz Barrera</t>
  </si>
  <si>
    <t>1. Se evidencia un avance cuantitativo del Indicador del 75% con corte a 31 de mayo de 2020, teniendo en cuenta que la actividad programada para el mes de febrero no se realizó. Se desarrolla el informe de gestión de la vigencia 2019, pero se tiene pendiente el proceso de divulgación con la alta dirección según modificaciones solicitadas por la Dirección de Talento Humano.</t>
  </si>
  <si>
    <t xml:space="preserve">1. Se evidencia un avance cuantitativo del Indicador del 41.67% con corte a 31 de mayo de 2020, teniendo en cuenta que seis (6) de las actividades programadas para el periodo evaluado, no se llevaron a cabo como se tenían programadas, se realizó su respectiva reprogramación.
</t>
  </si>
  <si>
    <t xml:space="preserve">Se sugiere que en el reporte cualitativo se relacione y especifique el avance en las actividades del plan de acción, de manera que se pueda verificar repecto a las evidencias aportadas en el periodo. </t>
  </si>
  <si>
    <t xml:space="preserve">El proceso programó para el mes de junio una magnitud de meta de 16,  no obstante reportaron 8 actividades del plan de seguridad vial ejecutadas /  10 actividades del plan de seguridad vial, programadas, lo cual no es suficiente para lo programado. Así mismo, no solicitaron su reprogramación el tiempo previsto por la OAP, conforme a radicado 3-2020-12465. Los retrasos o dificultades reportadas no explican claramente el número de actividades que se incumplieron, tampoco soluciones para el cumplimiento de la meta. Se verificaron 10 evidencias cargadas, se visualizan 6 en el reporte cuantitativo y se reportan 8 actividades ejecutadas de 10 programadas según reporte cuantitativo, lo cual no es adecuado_x000D_
</t>
  </si>
  <si>
    <t>Plan Integral de Gestión Ambiental - PIGA implementado</t>
  </si>
  <si>
    <t xml:space="preserve">Se sugiere que en el reporte cualitativo se relacione y especifique el avance en los programas, de manera que se pueda verificar repecto a las evidencias aportadas en el periodo. </t>
  </si>
  <si>
    <t>El reporte del indicador es adecuado en términos de coherencia y consistencia. El indicador presenta un cumplimiento del 100%</t>
  </si>
  <si>
    <t>Se debe diligenciar la información del indicador teniendo en cuenta el número de solicitudes recibidas en medios alternos al aplicativo.</t>
  </si>
  <si>
    <t>El reporte del indicador es adecuado en términos de coherencia y consistencia. El indicador presenta un cumplimiento del 105%</t>
  </si>
  <si>
    <t>En fuentes de infromación se hace referencia a "Informe de acuerdo a información desagregada del sistema de correspondencia interna del SAI"; en la evidencias aparece un archivo de excel denominado "Consolidado de solicitudes Junio" que muesdtra una tabla de solicitudes clasificadas por tipo y el porcentaje de cumplimiento, en cionsecuencia se debería hacer referencia es al reporte del sistema y no aun informe como fuente de información del indicador.</t>
  </si>
  <si>
    <t>Se debería reconsiderar la meta para el indicador dado que se superó en el periordo de análisis y los anteriores.</t>
  </si>
  <si>
    <t>Sin observaciones.</t>
  </si>
  <si>
    <t>C3: Se atendió la observación de incluir el reporte de avance en la gestión, y beneficios, logros y resultados para el caso de reservas y pasivos exigibles.</t>
  </si>
  <si>
    <t>PLATAFORMA ESTRATÉGICA DE LA ENTIDAD</t>
  </si>
  <si>
    <t>La Secretaría General de la Alcaldía Mayor de Bogotá, es la entidad estratégica, articuladora, y líder del sector Gestión Pública, que eleva la efectividad de la Administración Pública Distrital y promueve la transparencia para contribuir al bienestar y calidad de vida de la ciudadanía.</t>
  </si>
  <si>
    <t>La Secretaría General de la Alcaldía Mayor de Bogotá, en 2020 será reconocida a nivel nacional e internacional como una entidad modelo en gestión pública, que inspirará por su transparencia, confiabilidad y eficaz interacción con los ciudadanos, en el marco de los valores de la integridad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</si>
</sst>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_-* #,##0.00\ _€_-;\-* #,##0.00\ _€_-;_-* &quot;-&quot;??\ _€_-;_-@_-"/>
    <numFmt numFmtId="165" formatCode="0.0%"/>
  </numFmts>
  <fonts count="46" x14ac:knownFonts="1">
    <font>
      <sz val="11"/>
      <color theme="1"/>
      <name val="Calibri"/>
      <family val="2"/>
      <scheme val="minor"/>
    </font>
    <font>
      <sz val="11"/>
      <color theme="1"/>
      <name val="Calibri"/>
      <family val="2"/>
      <scheme val="minor"/>
    </font>
    <font>
      <sz val="12"/>
      <name val="Book Antiqua"/>
      <family val="1"/>
    </font>
    <font>
      <sz val="10"/>
      <name val="Arial"/>
      <family val="2"/>
    </font>
    <font>
      <sz val="11"/>
      <color indexed="8"/>
      <name val="Calibri"/>
      <family val="2"/>
    </font>
    <font>
      <b/>
      <sz val="16"/>
      <color indexed="9"/>
      <name val="Arial"/>
      <family val="2"/>
    </font>
    <font>
      <b/>
      <sz val="12"/>
      <color indexed="9"/>
      <name val="Arial"/>
      <family val="2"/>
    </font>
    <font>
      <b/>
      <sz val="10"/>
      <color indexed="9"/>
      <name val="Arial"/>
      <family val="2"/>
    </font>
    <font>
      <sz val="8"/>
      <name val="Arial"/>
      <family val="2"/>
    </font>
    <font>
      <b/>
      <sz val="11"/>
      <name val="Arial"/>
      <family val="2"/>
    </font>
    <font>
      <b/>
      <u/>
      <sz val="10"/>
      <color indexed="9"/>
      <name val="Arial"/>
      <family val="2"/>
    </font>
    <font>
      <sz val="8"/>
      <name val="Calibri"/>
      <family val="2"/>
      <scheme val="minor"/>
    </font>
    <font>
      <b/>
      <sz val="11"/>
      <color theme="0"/>
      <name val="Calibri"/>
      <family val="2"/>
      <scheme val="minor"/>
    </font>
    <font>
      <sz val="11"/>
      <color theme="0"/>
      <name val="Calibri"/>
      <family val="2"/>
      <scheme val="minor"/>
    </font>
    <font>
      <sz val="9"/>
      <name val="Arial"/>
      <family val="2"/>
    </font>
    <font>
      <sz val="10"/>
      <color theme="0"/>
      <name val="Calibri"/>
      <family val="2"/>
    </font>
    <font>
      <sz val="11"/>
      <color rgb="FF000000"/>
      <name val="Calibri"/>
      <family val="2"/>
      <scheme val="minor"/>
    </font>
    <font>
      <b/>
      <sz val="11"/>
      <color theme="1"/>
      <name val="Calibri"/>
      <family val="2"/>
      <scheme val="minor"/>
    </font>
    <font>
      <b/>
      <sz val="14"/>
      <color theme="0"/>
      <name val="Calibri"/>
      <family val="2"/>
      <scheme val="minor"/>
    </font>
    <font>
      <b/>
      <sz val="18"/>
      <color theme="0"/>
      <name val="Calibri"/>
      <family val="2"/>
      <scheme val="minor"/>
    </font>
    <font>
      <b/>
      <sz val="10"/>
      <color theme="1"/>
      <name val="Calibri"/>
      <family val="2"/>
      <scheme val="minor"/>
    </font>
    <font>
      <b/>
      <sz val="10"/>
      <color theme="0"/>
      <name val="Arial"/>
      <family val="2"/>
    </font>
    <font>
      <sz val="10"/>
      <color rgb="FFFF0000"/>
      <name val="Arial"/>
      <family val="2"/>
    </font>
    <font>
      <sz val="10"/>
      <color theme="0"/>
      <name val="Arial"/>
      <family val="2"/>
    </font>
    <font>
      <sz val="10"/>
      <color indexed="8"/>
      <name val="Arial"/>
      <family val="2"/>
    </font>
    <font>
      <b/>
      <sz val="10"/>
      <name val="Arial"/>
      <family val="2"/>
    </font>
    <font>
      <b/>
      <sz val="10"/>
      <color indexed="8"/>
      <name val="Arial"/>
      <family val="2"/>
    </font>
    <font>
      <b/>
      <sz val="11"/>
      <color theme="0"/>
      <name val="Arial"/>
      <family val="2"/>
    </font>
    <font>
      <b/>
      <sz val="12"/>
      <color theme="0"/>
      <name val="Arial"/>
      <family val="2"/>
    </font>
    <font>
      <sz val="8"/>
      <color theme="1"/>
      <name val="Calibri"/>
      <family val="2"/>
      <scheme val="minor"/>
    </font>
    <font>
      <sz val="11"/>
      <color rgb="FFFF0000"/>
      <name val="Calibri"/>
      <family val="2"/>
      <scheme val="minor"/>
    </font>
    <font>
      <sz val="16"/>
      <color theme="1"/>
      <name val="Calibri"/>
      <family val="2"/>
      <scheme val="minor"/>
    </font>
    <font>
      <sz val="24"/>
      <color theme="1"/>
      <name val="Calibri"/>
      <family val="2"/>
      <scheme val="minor"/>
    </font>
    <font>
      <sz val="9"/>
      <color theme="1"/>
      <name val="Calibri"/>
      <family val="2"/>
      <scheme val="minor"/>
    </font>
    <font>
      <sz val="9"/>
      <color rgb="FFFFFFFF"/>
      <name val="Calibri"/>
      <family val="2"/>
      <scheme val="minor"/>
    </font>
    <font>
      <sz val="9"/>
      <color rgb="FFFF0000"/>
      <name val="Calibri"/>
      <family val="2"/>
      <scheme val="minor"/>
    </font>
    <font>
      <sz val="9"/>
      <color theme="0"/>
      <name val="Calibri"/>
      <family val="2"/>
      <scheme val="minor"/>
    </font>
    <font>
      <sz val="11"/>
      <name val="Calibri"/>
      <family val="2"/>
      <scheme val="minor"/>
    </font>
    <font>
      <b/>
      <sz val="11"/>
      <name val="Calibri"/>
      <family val="2"/>
      <scheme val="minor"/>
    </font>
    <font>
      <sz val="11"/>
      <color rgb="FF201F1E"/>
      <name val="Calibri"/>
      <family val="2"/>
      <scheme val="minor"/>
    </font>
    <font>
      <b/>
      <sz val="11"/>
      <color rgb="FF201F1E"/>
      <name val="Calibri"/>
      <family val="2"/>
      <scheme val="minor"/>
    </font>
    <font>
      <sz val="8"/>
      <color rgb="FF000000"/>
      <name val="Calibri"/>
      <family val="2"/>
      <scheme val="minor"/>
    </font>
    <font>
      <sz val="11"/>
      <color theme="1"/>
      <name val="Arial"/>
      <family val="2"/>
    </font>
    <font>
      <sz val="11"/>
      <color rgb="FF000000"/>
      <name val="Arial"/>
      <family val="2"/>
    </font>
    <font>
      <b/>
      <sz val="20"/>
      <color theme="0"/>
      <name val="Baskerville Old Face"/>
      <family val="1"/>
    </font>
    <font>
      <b/>
      <sz val="12"/>
      <color theme="1"/>
      <name val="Calibri"/>
      <family val="2"/>
      <scheme val="minor"/>
    </font>
  </fonts>
  <fills count="32">
    <fill>
      <patternFill patternType="none"/>
    </fill>
    <fill>
      <patternFill patternType="gray125"/>
    </fill>
    <fill>
      <patternFill patternType="solid">
        <fgColor rgb="FF375623"/>
        <bgColor rgb="FF000000"/>
      </patternFill>
    </fill>
    <fill>
      <patternFill patternType="solid">
        <fgColor rgb="FF757171"/>
        <bgColor rgb="FF000000"/>
      </patternFill>
    </fill>
    <fill>
      <patternFill patternType="solid">
        <fgColor rgb="FF203764"/>
        <bgColor rgb="FF000000"/>
      </patternFill>
    </fill>
    <fill>
      <patternFill patternType="solid">
        <fgColor theme="7" tint="0.79998168889431442"/>
        <bgColor indexed="64"/>
      </patternFill>
    </fill>
    <fill>
      <patternFill patternType="solid">
        <fgColor rgb="FFCC0000"/>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8" tint="-0.499984740745262"/>
        <bgColor indexed="64"/>
      </patternFill>
    </fill>
    <fill>
      <patternFill patternType="solid">
        <fgColor theme="7" tint="-0.499984740745262"/>
        <bgColor indexed="64"/>
      </patternFill>
    </fill>
    <fill>
      <patternFill patternType="solid">
        <fgColor rgb="FFC00000"/>
        <bgColor indexed="64"/>
      </patternFill>
    </fill>
    <fill>
      <patternFill patternType="solid">
        <fgColor theme="0" tint="-4.9989318521683403E-2"/>
        <bgColor indexed="64"/>
      </patternFill>
    </fill>
    <fill>
      <patternFill patternType="solid">
        <fgColor rgb="FF223616"/>
        <bgColor indexed="64"/>
      </patternFill>
    </fill>
    <fill>
      <patternFill patternType="solid">
        <fgColor rgb="FF5C4400"/>
        <bgColor indexed="64"/>
      </patternFill>
    </fill>
    <fill>
      <patternFill patternType="solid">
        <fgColor rgb="FF00B0F0"/>
        <bgColor indexed="64"/>
      </patternFill>
    </fill>
    <fill>
      <patternFill patternType="solid">
        <fgColor rgb="FF340080"/>
        <bgColor indexed="64"/>
      </patternFill>
    </fill>
    <fill>
      <patternFill patternType="solid">
        <fgColor rgb="FF002060"/>
        <bgColor indexed="64"/>
      </patternFill>
    </fill>
    <fill>
      <patternFill patternType="solid">
        <fgColor indexed="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2F2F2"/>
        <bgColor rgb="FF000000"/>
      </patternFill>
    </fill>
    <fill>
      <patternFill patternType="solid">
        <fgColor theme="5" tint="-0.249977111117893"/>
        <bgColor indexed="64"/>
      </patternFill>
    </fill>
    <fill>
      <patternFill patternType="solid">
        <fgColor theme="5" tint="-0.499984740745262"/>
        <bgColor indexed="64"/>
      </patternFill>
    </fill>
    <fill>
      <patternFill patternType="solid">
        <fgColor theme="2"/>
        <bgColor indexed="64"/>
      </patternFill>
    </fill>
    <fill>
      <patternFill patternType="solid">
        <fgColor rgb="FF92D05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bgColor indexed="64"/>
      </patternFill>
    </fill>
  </fills>
  <borders count="71">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style="medium">
        <color auto="1"/>
      </right>
      <top style="thin">
        <color indexed="64"/>
      </top>
      <bottom style="thin">
        <color auto="1"/>
      </bottom>
      <diagonal/>
    </border>
    <border>
      <left/>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thin">
        <color auto="1"/>
      </top>
      <bottom/>
      <diagonal/>
    </border>
    <border>
      <left/>
      <right style="medium">
        <color auto="1"/>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style="thin">
        <color indexed="64"/>
      </right>
      <top/>
      <bottom/>
      <diagonal/>
    </border>
    <border>
      <left style="thin">
        <color auto="1"/>
      </left>
      <right style="thin">
        <color auto="1"/>
      </right>
      <top/>
      <bottom style="medium">
        <color indexed="64"/>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style="medium">
        <color auto="1"/>
      </top>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indexed="64"/>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indexed="64"/>
      </top>
      <bottom style="thin">
        <color indexed="64"/>
      </bottom>
      <diagonal/>
    </border>
    <border>
      <left/>
      <right/>
      <top style="thin">
        <color indexed="64"/>
      </top>
      <bottom/>
      <diagonal/>
    </border>
    <border>
      <left style="thin">
        <color auto="1"/>
      </left>
      <right style="medium">
        <color indexed="64"/>
      </right>
      <top/>
      <bottom style="medium">
        <color indexed="64"/>
      </bottom>
      <diagonal/>
    </border>
    <border>
      <left/>
      <right style="thin">
        <color auto="1"/>
      </right>
      <top style="medium">
        <color auto="1"/>
      </top>
      <bottom style="thin">
        <color auto="1"/>
      </bottom>
      <diagonal/>
    </border>
    <border>
      <left/>
      <right style="thin">
        <color auto="1"/>
      </right>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bottom style="thin">
        <color auto="1"/>
      </bottom>
      <diagonal/>
    </border>
    <border>
      <left style="thin">
        <color auto="1"/>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theme="1"/>
      </top>
      <bottom style="thin">
        <color theme="1"/>
      </bottom>
      <diagonal/>
    </border>
    <border>
      <left/>
      <right/>
      <top/>
      <bottom style="thin">
        <color theme="1"/>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0"/>
    <xf numFmtId="41" fontId="1" fillId="0" borderId="0" applyFont="0" applyFill="0" applyBorder="0" applyAlignment="0" applyProtection="0"/>
    <xf numFmtId="42" fontId="1" fillId="0" borderId="0" applyFont="0" applyFill="0" applyBorder="0" applyAlignment="0" applyProtection="0"/>
    <xf numFmtId="9" fontId="4" fillId="0" borderId="0" applyFont="0" applyFill="0" applyBorder="0" applyAlignment="0" applyProtection="0"/>
    <xf numFmtId="42"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cellStyleXfs>
  <cellXfs count="654">
    <xf numFmtId="0" fontId="0" fillId="0" borderId="0" xfId="0"/>
    <xf numFmtId="0" fontId="8" fillId="0" borderId="15" xfId="3" applyFont="1" applyBorder="1" applyAlignment="1" applyProtection="1">
      <alignment vertical="center" wrapText="1"/>
      <protection hidden="1"/>
    </xf>
    <xf numFmtId="0" fontId="3" fillId="0" borderId="19" xfId="1" applyNumberFormat="1" applyFont="1" applyBorder="1" applyAlignment="1" applyProtection="1">
      <alignment horizontal="center" vertical="center" wrapText="1"/>
      <protection hidden="1"/>
    </xf>
    <xf numFmtId="0" fontId="7" fillId="7" borderId="5" xfId="3" applyFont="1" applyFill="1" applyBorder="1" applyAlignment="1" applyProtection="1">
      <alignment horizontal="center" vertical="center" wrapText="1"/>
      <protection hidden="1"/>
    </xf>
    <xf numFmtId="0" fontId="0" fillId="0" borderId="15" xfId="0" applyBorder="1" applyProtection="1">
      <protection hidden="1"/>
    </xf>
    <xf numFmtId="2" fontId="3" fillId="0" borderId="15" xfId="2" applyNumberFormat="1" applyFont="1" applyBorder="1" applyAlignment="1" applyProtection="1">
      <alignment horizontal="center"/>
      <protection hidden="1"/>
    </xf>
    <xf numFmtId="0" fontId="7" fillId="7" borderId="0" xfId="3" applyFont="1" applyFill="1" applyBorder="1" applyAlignment="1" applyProtection="1">
      <alignment horizontal="center" vertical="center" wrapText="1"/>
      <protection hidden="1"/>
    </xf>
    <xf numFmtId="0" fontId="0" fillId="0" borderId="18" xfId="0" applyBorder="1" applyProtection="1">
      <protection hidden="1"/>
    </xf>
    <xf numFmtId="0" fontId="3" fillId="0" borderId="19" xfId="3" applyFont="1" applyBorder="1" applyAlignment="1" applyProtection="1">
      <alignment horizontal="center"/>
      <protection hidden="1"/>
    </xf>
    <xf numFmtId="14" fontId="0" fillId="0" borderId="0" xfId="0" applyNumberFormat="1"/>
    <xf numFmtId="9" fontId="0" fillId="0" borderId="0" xfId="2" applyFont="1"/>
    <xf numFmtId="0" fontId="13" fillId="6" borderId="0" xfId="0" applyFont="1" applyFill="1"/>
    <xf numFmtId="0" fontId="12" fillId="6" borderId="0" xfId="0" applyFont="1" applyFill="1"/>
    <xf numFmtId="165" fontId="0" fillId="0" borderId="0" xfId="2" applyNumberFormat="1" applyFont="1"/>
    <xf numFmtId="9" fontId="0" fillId="0" borderId="0" xfId="2" applyNumberFormat="1" applyFont="1"/>
    <xf numFmtId="0" fontId="0" fillId="0" borderId="0" xfId="0" applyProtection="1">
      <protection hidden="1"/>
    </xf>
    <xf numFmtId="42" fontId="3" fillId="0" borderId="15" xfId="2" applyNumberFormat="1" applyFont="1" applyBorder="1" applyAlignment="1" applyProtection="1">
      <alignment horizontal="center"/>
      <protection hidden="1"/>
    </xf>
    <xf numFmtId="0" fontId="15" fillId="8" borderId="0" xfId="0" applyFont="1" applyFill="1" applyAlignment="1">
      <alignment horizontal="center" vertical="center" wrapText="1"/>
    </xf>
    <xf numFmtId="0" fontId="16" fillId="0" borderId="0" xfId="0" applyFont="1" applyAlignment="1">
      <alignment vertical="center"/>
    </xf>
    <xf numFmtId="0" fontId="13" fillId="9" borderId="0" xfId="0" applyFont="1" applyFill="1"/>
    <xf numFmtId="0" fontId="13" fillId="10" borderId="0" xfId="0" applyFont="1" applyFill="1"/>
    <xf numFmtId="0" fontId="17" fillId="0" borderId="0" xfId="0" applyFont="1"/>
    <xf numFmtId="0" fontId="3" fillId="0" borderId="16" xfId="1" applyNumberFormat="1" applyFont="1" applyBorder="1" applyAlignment="1" applyProtection="1">
      <alignment horizontal="center" vertical="center" wrapText="1"/>
      <protection hidden="1"/>
    </xf>
    <xf numFmtId="0" fontId="3" fillId="18" borderId="0" xfId="3" applyFont="1" applyFill="1" applyAlignment="1" applyProtection="1">
      <alignment horizontal="center" vertical="center"/>
      <protection hidden="1"/>
    </xf>
    <xf numFmtId="0" fontId="3" fillId="18" borderId="4" xfId="3" applyFont="1" applyFill="1" applyBorder="1" applyAlignment="1" applyProtection="1">
      <alignment horizontal="center" vertical="center"/>
      <protection hidden="1"/>
    </xf>
    <xf numFmtId="0" fontId="3" fillId="18" borderId="5" xfId="3" applyFont="1" applyFill="1" applyBorder="1" applyAlignment="1" applyProtection="1">
      <alignment horizontal="center" vertical="center"/>
      <protection hidden="1"/>
    </xf>
    <xf numFmtId="0" fontId="22" fillId="0" borderId="0" xfId="3" applyFont="1" applyAlignment="1" applyProtection="1">
      <alignment horizontal="center" vertical="center"/>
      <protection hidden="1"/>
    </xf>
    <xf numFmtId="14" fontId="23" fillId="0" borderId="0" xfId="3" applyNumberFormat="1" applyFont="1" applyAlignment="1" applyProtection="1">
      <alignment horizontal="center" vertical="center"/>
      <protection hidden="1"/>
    </xf>
    <xf numFmtId="0" fontId="3" fillId="19" borderId="17" xfId="3" applyFont="1" applyFill="1" applyBorder="1" applyAlignment="1" applyProtection="1">
      <alignment horizontal="center" vertical="center" wrapText="1"/>
      <protection hidden="1"/>
    </xf>
    <xf numFmtId="2" fontId="3" fillId="0" borderId="15" xfId="3" applyNumberFormat="1" applyFont="1" applyBorder="1" applyAlignment="1" applyProtection="1">
      <alignment horizontal="center" vertical="center"/>
      <protection hidden="1"/>
    </xf>
    <xf numFmtId="2" fontId="23" fillId="0" borderId="0" xfId="3" applyNumberFormat="1" applyFont="1" applyAlignment="1" applyProtection="1">
      <alignment horizontal="center" vertical="center"/>
      <protection hidden="1"/>
    </xf>
    <xf numFmtId="16" fontId="23" fillId="0" borderId="0" xfId="3" applyNumberFormat="1" applyFont="1" applyAlignment="1" applyProtection="1">
      <alignment horizontal="center" vertical="center"/>
      <protection hidden="1"/>
    </xf>
    <xf numFmtId="2" fontId="25" fillId="0" borderId="18" xfId="3" applyNumberFormat="1" applyFont="1" applyBorder="1" applyAlignment="1" applyProtection="1">
      <alignment horizontal="center" vertical="center"/>
      <protection hidden="1"/>
    </xf>
    <xf numFmtId="2" fontId="26" fillId="0" borderId="18" xfId="0" applyNumberFormat="1" applyFont="1" applyBorder="1" applyAlignment="1" applyProtection="1">
      <alignment horizontal="center" vertical="center"/>
      <protection hidden="1"/>
    </xf>
    <xf numFmtId="0" fontId="3" fillId="0" borderId="8" xfId="3" applyFont="1" applyBorder="1" applyAlignment="1" applyProtection="1">
      <alignment horizontal="center" vertical="center"/>
      <protection hidden="1"/>
    </xf>
    <xf numFmtId="0" fontId="7" fillId="7" borderId="16" xfId="3" applyFont="1" applyFill="1" applyBorder="1" applyAlignment="1" applyProtection="1">
      <alignment horizontal="center" vertical="center" wrapText="1"/>
      <protection hidden="1"/>
    </xf>
    <xf numFmtId="0" fontId="7" fillId="11" borderId="20" xfId="3" applyFont="1" applyFill="1" applyBorder="1" applyAlignment="1" applyProtection="1">
      <alignment horizontal="center" vertical="center" wrapText="1"/>
      <protection hidden="1"/>
    </xf>
    <xf numFmtId="0" fontId="21" fillId="11" borderId="1" xfId="3" applyFont="1" applyFill="1" applyBorder="1" applyAlignment="1" applyProtection="1">
      <alignment vertical="center"/>
      <protection hidden="1"/>
    </xf>
    <xf numFmtId="0" fontId="21" fillId="11" borderId="2" xfId="3" applyFont="1" applyFill="1" applyBorder="1" applyAlignment="1" applyProtection="1">
      <alignment vertical="center"/>
      <protection hidden="1"/>
    </xf>
    <xf numFmtId="0" fontId="21" fillId="11" borderId="3" xfId="3" applyFont="1" applyFill="1" applyBorder="1" applyAlignment="1" applyProtection="1">
      <alignment vertical="center"/>
      <protection hidden="1"/>
    </xf>
    <xf numFmtId="0" fontId="3" fillId="0" borderId="4" xfId="3" applyFont="1" applyBorder="1" applyAlignment="1" applyProtection="1">
      <alignment vertical="center"/>
      <protection hidden="1"/>
    </xf>
    <xf numFmtId="0" fontId="3" fillId="0" borderId="0" xfId="3" applyFont="1" applyBorder="1" applyAlignment="1" applyProtection="1">
      <alignment vertical="center"/>
      <protection hidden="1"/>
    </xf>
    <xf numFmtId="0" fontId="3" fillId="0" borderId="5" xfId="3" applyFont="1" applyBorder="1" applyAlignment="1" applyProtection="1">
      <alignment vertical="center"/>
      <protection hidden="1"/>
    </xf>
    <xf numFmtId="0" fontId="3" fillId="19" borderId="17" xfId="3" applyFont="1" applyFill="1" applyBorder="1" applyAlignment="1" applyProtection="1">
      <alignment horizontal="left" vertical="center" wrapText="1"/>
      <protection hidden="1"/>
    </xf>
    <xf numFmtId="0" fontId="0" fillId="7" borderId="4" xfId="0" applyFill="1" applyBorder="1" applyProtection="1">
      <protection hidden="1"/>
    </xf>
    <xf numFmtId="0" fontId="7" fillId="7" borderId="43" xfId="3" applyFont="1" applyFill="1" applyBorder="1" applyAlignment="1" applyProtection="1">
      <alignment horizontal="center" vertical="center" wrapText="1"/>
      <protection hidden="1"/>
    </xf>
    <xf numFmtId="0" fontId="7" fillId="7" borderId="46" xfId="3" applyFont="1" applyFill="1" applyBorder="1" applyAlignment="1" applyProtection="1">
      <alignment horizontal="center" vertical="center" wrapText="1"/>
      <protection hidden="1"/>
    </xf>
    <xf numFmtId="0" fontId="3" fillId="0" borderId="0" xfId="3" applyFont="1" applyAlignment="1" applyProtection="1">
      <alignment vertical="center"/>
      <protection hidden="1"/>
    </xf>
    <xf numFmtId="0" fontId="12" fillId="7" borderId="24" xfId="0" applyFont="1" applyFill="1" applyBorder="1" applyAlignment="1" applyProtection="1">
      <alignment horizontal="center" vertical="center" wrapText="1"/>
      <protection hidden="1"/>
    </xf>
    <xf numFmtId="0" fontId="12" fillId="7" borderId="25" xfId="0" applyFont="1" applyFill="1" applyBorder="1" applyAlignment="1" applyProtection="1">
      <alignment horizontal="center" vertical="center" wrapText="1"/>
      <protection hidden="1"/>
    </xf>
    <xf numFmtId="0" fontId="0" fillId="12" borderId="15" xfId="0" applyFill="1" applyBorder="1" applyAlignment="1" applyProtection="1">
      <alignment horizontal="center" vertical="center"/>
      <protection hidden="1"/>
    </xf>
    <xf numFmtId="0" fontId="0" fillId="0" borderId="15" xfId="0" applyBorder="1" applyAlignment="1" applyProtection="1">
      <alignment horizontal="center" vertical="center" wrapText="1"/>
      <protection hidden="1"/>
    </xf>
    <xf numFmtId="0" fontId="0" fillId="0" borderId="15" xfId="0" applyBorder="1" applyAlignment="1" applyProtection="1">
      <alignment horizontal="center" vertical="center"/>
      <protection hidden="1"/>
    </xf>
    <xf numFmtId="0" fontId="0" fillId="12" borderId="18" xfId="0" applyFill="1" applyBorder="1" applyAlignment="1" applyProtection="1">
      <alignment horizontal="center" vertical="center"/>
      <protection hidden="1"/>
    </xf>
    <xf numFmtId="0" fontId="0" fillId="0" borderId="18" xfId="0" applyBorder="1" applyAlignment="1" applyProtection="1">
      <alignment horizontal="center" vertical="center" wrapText="1"/>
      <protection hidden="1"/>
    </xf>
    <xf numFmtId="0" fontId="0" fillId="0" borderId="18" xfId="0" applyBorder="1" applyAlignment="1" applyProtection="1">
      <alignment horizontal="center" vertical="center"/>
      <protection hidden="1"/>
    </xf>
    <xf numFmtId="0" fontId="17" fillId="0" borderId="15" xfId="0" applyFont="1" applyBorder="1" applyAlignment="1" applyProtection="1">
      <alignment horizontal="center" vertical="center"/>
      <protection hidden="1"/>
    </xf>
    <xf numFmtId="0" fontId="17" fillId="0" borderId="18" xfId="0" applyFont="1" applyBorder="1" applyAlignment="1" applyProtection="1">
      <alignment horizontal="center" vertical="center"/>
      <protection hidden="1"/>
    </xf>
    <xf numFmtId="0" fontId="12" fillId="13" borderId="37" xfId="0" applyFont="1" applyFill="1" applyBorder="1" applyAlignment="1" applyProtection="1">
      <alignment horizontal="center" vertical="center" wrapText="1"/>
      <protection hidden="1"/>
    </xf>
    <xf numFmtId="0" fontId="12" fillId="13" borderId="36" xfId="0" applyFont="1" applyFill="1" applyBorder="1" applyAlignment="1" applyProtection="1">
      <alignment horizontal="center" vertical="center" wrapText="1"/>
      <protection hidden="1"/>
    </xf>
    <xf numFmtId="0" fontId="12" fillId="13" borderId="36" xfId="0" applyFont="1" applyFill="1" applyBorder="1" applyAlignment="1" applyProtection="1">
      <alignment horizontal="center" vertical="center"/>
      <protection hidden="1"/>
    </xf>
    <xf numFmtId="0" fontId="12" fillId="13" borderId="38" xfId="0" applyFont="1" applyFill="1" applyBorder="1" applyAlignment="1" applyProtection="1">
      <alignment horizontal="center" vertical="center"/>
      <protection hidden="1"/>
    </xf>
    <xf numFmtId="0" fontId="17" fillId="0" borderId="2" xfId="0" applyFont="1" applyBorder="1" applyAlignment="1" applyProtection="1">
      <alignment horizontal="center" vertical="center" wrapText="1"/>
      <protection hidden="1"/>
    </xf>
    <xf numFmtId="0" fontId="17" fillId="0" borderId="10" xfId="0" applyFont="1" applyBorder="1" applyAlignment="1" applyProtection="1">
      <alignment horizontal="center"/>
      <protection hidden="1"/>
    </xf>
    <xf numFmtId="0" fontId="20" fillId="0" borderId="10" xfId="0" applyFont="1" applyBorder="1" applyAlignment="1" applyProtection="1">
      <alignment horizontal="center" vertical="center" wrapText="1"/>
      <protection hidden="1"/>
    </xf>
    <xf numFmtId="0" fontId="17" fillId="0" borderId="10" xfId="0" applyFont="1" applyBorder="1" applyAlignment="1" applyProtection="1">
      <alignment horizontal="center" vertical="center"/>
      <protection hidden="1"/>
    </xf>
    <xf numFmtId="0" fontId="0" fillId="12" borderId="10" xfId="0" applyFill="1" applyBorder="1" applyAlignment="1" applyProtection="1">
      <alignment horizontal="center" vertical="center"/>
      <protection hidden="1"/>
    </xf>
    <xf numFmtId="0" fontId="0" fillId="12" borderId="11" xfId="0" applyFill="1" applyBorder="1" applyAlignment="1" applyProtection="1">
      <alignment horizontal="center" vertical="center"/>
      <protection hidden="1"/>
    </xf>
    <xf numFmtId="0" fontId="12" fillId="0" borderId="0" xfId="0" applyFont="1" applyBorder="1" applyProtection="1">
      <protection hidden="1"/>
    </xf>
    <xf numFmtId="0" fontId="17" fillId="0" borderId="15" xfId="0" applyFont="1" applyBorder="1" applyAlignment="1" applyProtection="1">
      <alignment horizontal="center"/>
      <protection hidden="1"/>
    </xf>
    <xf numFmtId="0" fontId="20" fillId="0" borderId="15" xfId="0" applyFont="1" applyBorder="1" applyAlignment="1" applyProtection="1">
      <alignment horizontal="center" vertical="center" wrapText="1"/>
      <protection hidden="1"/>
    </xf>
    <xf numFmtId="0" fontId="0" fillId="12" borderId="16" xfId="0" applyFill="1" applyBorder="1" applyAlignment="1" applyProtection="1">
      <alignment horizontal="center" vertical="center"/>
      <protection hidden="1"/>
    </xf>
    <xf numFmtId="0" fontId="12" fillId="0" borderId="7" xfId="0" applyFont="1" applyBorder="1" applyProtection="1">
      <protection hidden="1"/>
    </xf>
    <xf numFmtId="0" fontId="17" fillId="0" borderId="18" xfId="0" applyFont="1" applyBorder="1" applyAlignment="1" applyProtection="1">
      <alignment horizontal="center"/>
      <protection hidden="1"/>
    </xf>
    <xf numFmtId="0" fontId="20" fillId="0" borderId="18" xfId="0" applyFont="1" applyBorder="1" applyAlignment="1" applyProtection="1">
      <alignment horizontal="center" vertical="center" wrapText="1"/>
      <protection hidden="1"/>
    </xf>
    <xf numFmtId="0" fontId="0" fillId="12" borderId="19" xfId="0" applyFill="1" applyBorder="1" applyAlignment="1" applyProtection="1">
      <alignment horizontal="center" vertical="center"/>
      <protection hidden="1"/>
    </xf>
    <xf numFmtId="0" fontId="17" fillId="0" borderId="0" xfId="0" applyFont="1" applyBorder="1" applyAlignment="1" applyProtection="1">
      <alignment horizontal="center" vertical="center" wrapText="1"/>
      <protection hidden="1"/>
    </xf>
    <xf numFmtId="0" fontId="17" fillId="0" borderId="25" xfId="0" applyFont="1" applyBorder="1" applyAlignment="1" applyProtection="1">
      <alignment horizontal="center"/>
      <protection hidden="1"/>
    </xf>
    <xf numFmtId="0" fontId="17" fillId="0" borderId="25" xfId="0" applyFont="1" applyBorder="1" applyAlignment="1" applyProtection="1">
      <alignment horizontal="center" vertical="center"/>
      <protection hidden="1"/>
    </xf>
    <xf numFmtId="0" fontId="17" fillId="0" borderId="15" xfId="0" applyFont="1" applyBorder="1" applyAlignment="1" applyProtection="1">
      <alignment vertical="center" wrapText="1"/>
      <protection hidden="1"/>
    </xf>
    <xf numFmtId="0" fontId="17" fillId="0" borderId="18" xfId="0" applyFont="1" applyBorder="1" applyAlignment="1" applyProtection="1">
      <alignment vertical="center" wrapText="1"/>
      <protection hidden="1"/>
    </xf>
    <xf numFmtId="0" fontId="17" fillId="0" borderId="17" xfId="0" applyFont="1" applyBorder="1" applyAlignment="1" applyProtection="1">
      <alignment vertical="center" wrapText="1"/>
      <protection hidden="1"/>
    </xf>
    <xf numFmtId="0" fontId="12" fillId="7" borderId="37" xfId="0" applyFont="1" applyFill="1" applyBorder="1" applyAlignment="1" applyProtection="1">
      <alignment horizontal="center" vertical="center" wrapText="1"/>
      <protection hidden="1"/>
    </xf>
    <xf numFmtId="1" fontId="3" fillId="0" borderId="16" xfId="3" applyNumberFormat="1" applyFont="1" applyBorder="1" applyAlignment="1" applyProtection="1">
      <alignment horizontal="center" vertical="center"/>
      <protection hidden="1"/>
    </xf>
    <xf numFmtId="1" fontId="3" fillId="0" borderId="16" xfId="7" applyNumberFormat="1" applyFont="1" applyBorder="1" applyAlignment="1" applyProtection="1">
      <alignment horizontal="center" vertical="center"/>
      <protection hidden="1"/>
    </xf>
    <xf numFmtId="1" fontId="3" fillId="0" borderId="19" xfId="7" applyNumberFormat="1" applyFont="1" applyBorder="1" applyAlignment="1" applyProtection="1">
      <alignment horizontal="center" vertical="center"/>
      <protection hidden="1"/>
    </xf>
    <xf numFmtId="0" fontId="0" fillId="0" borderId="25" xfId="0" applyBorder="1" applyProtection="1">
      <protection hidden="1"/>
    </xf>
    <xf numFmtId="0" fontId="3" fillId="0" borderId="39" xfId="3" applyFont="1" applyBorder="1" applyAlignment="1" applyProtection="1">
      <alignment horizontal="center"/>
      <protection hidden="1"/>
    </xf>
    <xf numFmtId="0" fontId="7" fillId="7" borderId="31" xfId="3" applyFont="1" applyFill="1" applyBorder="1" applyAlignment="1" applyProtection="1">
      <alignment horizontal="center" vertical="center" wrapText="1"/>
      <protection hidden="1"/>
    </xf>
    <xf numFmtId="0" fontId="7" fillId="7" borderId="32" xfId="3" applyFont="1" applyFill="1" applyBorder="1" applyAlignment="1" applyProtection="1">
      <alignment horizontal="center" vertical="center" wrapText="1"/>
      <protection hidden="1"/>
    </xf>
    <xf numFmtId="0" fontId="0" fillId="0" borderId="10" xfId="0" applyBorder="1" applyProtection="1">
      <protection hidden="1"/>
    </xf>
    <xf numFmtId="0" fontId="3" fillId="0" borderId="11" xfId="3" applyFont="1" applyBorder="1" applyAlignment="1" applyProtection="1">
      <alignment horizontal="center"/>
      <protection hidden="1"/>
    </xf>
    <xf numFmtId="0" fontId="13" fillId="0" borderId="0" xfId="0" applyFont="1" applyAlignment="1" applyProtection="1">
      <alignment horizontal="center" vertical="center" wrapText="1"/>
      <protection hidden="1"/>
    </xf>
    <xf numFmtId="0" fontId="29" fillId="12" borderId="15" xfId="0" applyFont="1" applyFill="1" applyBorder="1" applyAlignment="1" applyProtection="1">
      <alignment vertical="top" wrapText="1"/>
      <protection hidden="1"/>
    </xf>
    <xf numFmtId="0" fontId="29" fillId="12" borderId="16" xfId="0" applyFont="1" applyFill="1" applyBorder="1" applyAlignment="1" applyProtection="1">
      <alignment vertical="top" wrapText="1"/>
      <protection hidden="1"/>
    </xf>
    <xf numFmtId="0" fontId="29" fillId="12" borderId="18" xfId="0" applyFont="1" applyFill="1" applyBorder="1" applyAlignment="1" applyProtection="1">
      <alignment vertical="top" wrapText="1"/>
      <protection hidden="1"/>
    </xf>
    <xf numFmtId="0" fontId="29" fillId="12" borderId="19" xfId="0" applyFont="1" applyFill="1" applyBorder="1" applyAlignment="1" applyProtection="1">
      <alignment vertical="top" wrapText="1"/>
      <protection hidden="1"/>
    </xf>
    <xf numFmtId="0" fontId="0" fillId="0" borderId="31" xfId="0" applyBorder="1"/>
    <xf numFmtId="0" fontId="0" fillId="0" borderId="32" xfId="0" applyBorder="1"/>
    <xf numFmtId="0" fontId="32" fillId="0" borderId="30" xfId="0" applyFont="1" applyBorder="1" applyAlignment="1">
      <alignment vertical="center"/>
    </xf>
    <xf numFmtId="0" fontId="31" fillId="0" borderId="30" xfId="0" applyFont="1" applyBorder="1" applyAlignment="1">
      <alignment vertical="center"/>
    </xf>
    <xf numFmtId="0" fontId="31" fillId="0" borderId="31" xfId="0" applyFont="1" applyBorder="1"/>
    <xf numFmtId="165" fontId="3" fillId="0" borderId="18" xfId="2" applyNumberFormat="1" applyFont="1" applyBorder="1" applyAlignment="1" applyProtection="1">
      <alignment horizontal="center"/>
      <protection hidden="1"/>
    </xf>
    <xf numFmtId="0" fontId="0" fillId="12" borderId="10" xfId="0" applyFill="1" applyBorder="1" applyAlignment="1" applyProtection="1">
      <alignment horizontal="center" vertical="center"/>
    </xf>
    <xf numFmtId="0" fontId="0" fillId="12" borderId="15" xfId="0" applyFill="1" applyBorder="1" applyAlignment="1" applyProtection="1">
      <alignment horizontal="center" vertical="center"/>
    </xf>
    <xf numFmtId="0" fontId="29" fillId="12" borderId="15" xfId="0" applyFont="1" applyFill="1" applyBorder="1" applyAlignment="1" applyProtection="1">
      <alignment horizontal="justify" vertical="top" wrapText="1"/>
    </xf>
    <xf numFmtId="0" fontId="29" fillId="12" borderId="15" xfId="0" applyFont="1" applyFill="1" applyBorder="1" applyAlignment="1" applyProtection="1">
      <alignment horizontal="justify" vertical="justify" wrapText="1"/>
    </xf>
    <xf numFmtId="0" fontId="0" fillId="12" borderId="18" xfId="0" applyFill="1" applyBorder="1" applyAlignment="1" applyProtection="1">
      <alignment horizontal="center" vertical="center"/>
    </xf>
    <xf numFmtId="0" fontId="0" fillId="12" borderId="15" xfId="0" applyFill="1" applyBorder="1" applyAlignment="1" applyProtection="1">
      <alignment horizontal="center" vertical="center" wrapText="1"/>
    </xf>
    <xf numFmtId="0" fontId="0" fillId="12" borderId="11" xfId="0" applyFill="1" applyBorder="1" applyAlignment="1" applyProtection="1">
      <alignment horizontal="center" vertical="center"/>
    </xf>
    <xf numFmtId="0" fontId="0" fillId="12" borderId="16" xfId="0" applyFill="1" applyBorder="1" applyAlignment="1" applyProtection="1">
      <alignment horizontal="center" vertical="center"/>
    </xf>
    <xf numFmtId="0" fontId="0" fillId="12" borderId="19" xfId="0" applyFill="1" applyBorder="1" applyAlignment="1" applyProtection="1">
      <alignment horizontal="center" vertical="center"/>
    </xf>
    <xf numFmtId="0" fontId="0" fillId="12" borderId="18" xfId="0" applyFill="1" applyBorder="1" applyAlignment="1" applyProtection="1">
      <alignment horizontal="center" vertical="center" wrapText="1"/>
    </xf>
    <xf numFmtId="42" fontId="3" fillId="0" borderId="10" xfId="6" applyFont="1" applyBorder="1" applyAlignment="1" applyProtection="1">
      <alignment horizontal="center" vertical="top"/>
      <protection hidden="1"/>
    </xf>
    <xf numFmtId="42" fontId="3" fillId="0" borderId="15" xfId="6" applyFont="1" applyBorder="1" applyAlignment="1" applyProtection="1">
      <alignment horizontal="center" vertical="top"/>
      <protection hidden="1"/>
    </xf>
    <xf numFmtId="9" fontId="3" fillId="0" borderId="15" xfId="2" applyFont="1" applyBorder="1" applyAlignment="1" applyProtection="1">
      <alignment horizontal="center" vertical="top"/>
      <protection hidden="1"/>
    </xf>
    <xf numFmtId="9" fontId="3" fillId="0" borderId="18" xfId="2" applyFont="1" applyBorder="1" applyAlignment="1" applyProtection="1">
      <alignment horizontal="center" vertical="top"/>
      <protection hidden="1"/>
    </xf>
    <xf numFmtId="42" fontId="3" fillId="0" borderId="25" xfId="6" applyFont="1" applyBorder="1" applyAlignment="1" applyProtection="1">
      <alignment horizontal="center" vertical="top"/>
      <protection hidden="1"/>
    </xf>
    <xf numFmtId="0" fontId="0" fillId="0" borderId="0" xfId="0" applyFont="1" applyAlignment="1" applyProtection="1">
      <protection hidden="1"/>
    </xf>
    <xf numFmtId="0" fontId="0" fillId="0" borderId="0" xfId="2" applyNumberFormat="1" applyFont="1"/>
    <xf numFmtId="0" fontId="13" fillId="0" borderId="0" xfId="0" applyFont="1" applyProtection="1">
      <protection hidden="1"/>
    </xf>
    <xf numFmtId="0" fontId="0" fillId="0" borderId="10" xfId="0" applyBorder="1" applyAlignment="1" applyProtection="1">
      <alignment horizontal="center" vertical="center" wrapText="1"/>
      <protection hidden="1"/>
    </xf>
    <xf numFmtId="0" fontId="29" fillId="12" borderId="10" xfId="0" applyFont="1" applyFill="1" applyBorder="1" applyAlignment="1" applyProtection="1">
      <alignment vertical="top" wrapText="1"/>
      <protection hidden="1"/>
    </xf>
    <xf numFmtId="0" fontId="29" fillId="12" borderId="11" xfId="0" applyFont="1" applyFill="1" applyBorder="1" applyAlignment="1" applyProtection="1">
      <alignment vertical="top" wrapText="1"/>
      <protection hidden="1"/>
    </xf>
    <xf numFmtId="0" fontId="20" fillId="0" borderId="25" xfId="0" applyFont="1" applyBorder="1" applyAlignment="1" applyProtection="1">
      <alignment horizontal="center" vertical="center" wrapText="1"/>
      <protection hidden="1"/>
    </xf>
    <xf numFmtId="0" fontId="0" fillId="12" borderId="25" xfId="0" applyFill="1" applyBorder="1" applyAlignment="1" applyProtection="1">
      <alignment horizontal="center" vertical="center"/>
    </xf>
    <xf numFmtId="0" fontId="0" fillId="12" borderId="25" xfId="0" applyFill="1" applyBorder="1" applyAlignment="1" applyProtection="1">
      <alignment horizontal="center" vertical="center"/>
      <protection hidden="1"/>
    </xf>
    <xf numFmtId="0" fontId="0" fillId="12" borderId="25" xfId="0" applyFill="1" applyBorder="1" applyAlignment="1" applyProtection="1">
      <alignment horizontal="center" vertical="top" wrapText="1"/>
    </xf>
    <xf numFmtId="0" fontId="0" fillId="12" borderId="39" xfId="0" applyFill="1" applyBorder="1" applyAlignment="1" applyProtection="1">
      <alignment horizontal="center" vertical="center"/>
      <protection hidden="1"/>
    </xf>
    <xf numFmtId="0" fontId="0" fillId="21" borderId="0" xfId="0" applyFill="1"/>
    <xf numFmtId="0" fontId="0" fillId="5" borderId="0" xfId="0" applyFont="1" applyFill="1" applyAlignment="1" applyProtection="1">
      <protection hidden="1"/>
    </xf>
    <xf numFmtId="0" fontId="0" fillId="5" borderId="0" xfId="2" applyNumberFormat="1" applyFont="1" applyFill="1"/>
    <xf numFmtId="0" fontId="33" fillId="0" borderId="0" xfId="0" applyFont="1" applyBorder="1" applyAlignment="1">
      <alignment horizontal="left"/>
    </xf>
    <xf numFmtId="0" fontId="33" fillId="0" borderId="0" xfId="0" applyFont="1" applyFill="1" applyBorder="1" applyAlignment="1">
      <alignment horizontal="left"/>
    </xf>
    <xf numFmtId="0" fontId="0" fillId="0" borderId="0" xfId="0" applyAlignment="1">
      <alignment horizontal="center" vertical="center"/>
    </xf>
    <xf numFmtId="0" fontId="0" fillId="0" borderId="0" xfId="0" applyFont="1"/>
    <xf numFmtId="0" fontId="0" fillId="5" borderId="0" xfId="0" applyFont="1" applyFill="1"/>
    <xf numFmtId="0" fontId="34" fillId="2" borderId="0" xfId="0" applyFont="1" applyFill="1" applyAlignment="1" applyProtection="1">
      <alignment vertical="top" wrapText="1"/>
      <protection hidden="1"/>
    </xf>
    <xf numFmtId="0" fontId="34" fillId="3" borderId="0" xfId="0" applyFont="1" applyFill="1" applyAlignment="1" applyProtection="1">
      <alignment vertical="top"/>
      <protection hidden="1"/>
    </xf>
    <xf numFmtId="0" fontId="34" fillId="3" borderId="0" xfId="0" applyFont="1" applyFill="1" applyAlignment="1" applyProtection="1">
      <alignment vertical="top" wrapText="1"/>
      <protection hidden="1"/>
    </xf>
    <xf numFmtId="0" fontId="34" fillId="2" borderId="0" xfId="0" applyFont="1" applyFill="1" applyAlignment="1" applyProtection="1">
      <alignment horizontal="left" vertical="top" wrapText="1"/>
      <protection hidden="1"/>
    </xf>
    <xf numFmtId="0" fontId="35" fillId="2" borderId="0" xfId="0" applyFont="1" applyFill="1" applyAlignment="1" applyProtection="1">
      <alignment vertical="top" wrapText="1"/>
      <protection hidden="1"/>
    </xf>
    <xf numFmtId="2" fontId="35" fillId="2" borderId="0" xfId="0" applyNumberFormat="1" applyFont="1" applyFill="1" applyAlignment="1" applyProtection="1">
      <alignment vertical="top" wrapText="1"/>
      <protection hidden="1"/>
    </xf>
    <xf numFmtId="0" fontId="34" fillId="4" borderId="0" xfId="0" applyFont="1" applyFill="1" applyAlignment="1" applyProtection="1">
      <alignment vertical="top"/>
      <protection hidden="1"/>
    </xf>
    <xf numFmtId="0" fontId="34" fillId="4" borderId="0" xfId="0" applyFont="1" applyFill="1" applyAlignment="1" applyProtection="1">
      <alignment vertical="top" wrapText="1"/>
      <protection hidden="1"/>
    </xf>
    <xf numFmtId="0" fontId="0" fillId="0" borderId="0" xfId="0" applyFont="1" applyAlignment="1">
      <alignment horizontal="center"/>
    </xf>
    <xf numFmtId="0" fontId="0" fillId="0" borderId="0" xfId="0" applyFont="1" applyProtection="1">
      <protection hidden="1"/>
    </xf>
    <xf numFmtId="0" fontId="0" fillId="0" borderId="0" xfId="0" applyFont="1" applyAlignment="1" applyProtection="1">
      <alignment vertical="center"/>
      <protection hidden="1"/>
    </xf>
    <xf numFmtId="0" fontId="0" fillId="20" borderId="0" xfId="0" applyFont="1" applyFill="1"/>
    <xf numFmtId="0" fontId="0" fillId="0" borderId="0" xfId="0" applyFont="1" applyFill="1"/>
    <xf numFmtId="0" fontId="0" fillId="0" borderId="0" xfId="0" applyFont="1" applyFill="1" applyProtection="1">
      <protection hidden="1"/>
    </xf>
    <xf numFmtId="0" fontId="0" fillId="5" borderId="0" xfId="0" applyFont="1" applyFill="1" applyProtection="1">
      <protection hidden="1"/>
    </xf>
    <xf numFmtId="0" fontId="0" fillId="0" borderId="0" xfId="0" applyFont="1" applyFill="1" applyAlignment="1" applyProtection="1">
      <alignment horizontal="left" vertical="top"/>
      <protection hidden="1"/>
    </xf>
    <xf numFmtId="2" fontId="0" fillId="0" borderId="0" xfId="0" applyNumberFormat="1" applyFont="1" applyFill="1"/>
    <xf numFmtId="0" fontId="0" fillId="0" borderId="0" xfId="0" applyFont="1" applyBorder="1" applyAlignment="1">
      <alignment horizontal="left"/>
    </xf>
    <xf numFmtId="1" fontId="0" fillId="0" borderId="0" xfId="2" applyNumberFormat="1" applyFont="1" applyFill="1" applyBorder="1" applyAlignment="1">
      <alignment horizontal="left" vertical="center"/>
    </xf>
    <xf numFmtId="0" fontId="0" fillId="5" borderId="0" xfId="0" applyFont="1" applyFill="1" applyBorder="1" applyAlignment="1">
      <alignment horizontal="left"/>
    </xf>
    <xf numFmtId="0" fontId="0" fillId="0" borderId="0"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1" fontId="0" fillId="0" borderId="0" xfId="0" applyNumberFormat="1" applyFont="1" applyFill="1" applyBorder="1" applyAlignment="1" applyProtection="1">
      <alignment horizontal="left" vertical="center" wrapText="1"/>
      <protection locked="0"/>
    </xf>
    <xf numFmtId="0" fontId="36" fillId="10" borderId="0" xfId="0" applyFont="1" applyFill="1" applyProtection="1">
      <protection hidden="1"/>
    </xf>
    <xf numFmtId="0" fontId="36" fillId="14" borderId="0" xfId="0" applyFont="1" applyFill="1" applyProtection="1">
      <protection hidden="1"/>
    </xf>
    <xf numFmtId="0" fontId="36" fillId="15" borderId="0" xfId="0" applyFont="1" applyFill="1" applyProtection="1">
      <protection hidden="1"/>
    </xf>
    <xf numFmtId="0" fontId="36" fillId="16" borderId="0" xfId="0" applyFont="1" applyFill="1" applyProtection="1">
      <protection hidden="1"/>
    </xf>
    <xf numFmtId="0" fontId="36" fillId="17" borderId="0" xfId="0" applyFont="1" applyFill="1" applyProtection="1">
      <protection hidden="1"/>
    </xf>
    <xf numFmtId="0" fontId="33" fillId="0" borderId="0" xfId="0" applyFont="1"/>
    <xf numFmtId="0" fontId="0" fillId="22" borderId="0" xfId="0" applyFont="1" applyFill="1" applyBorder="1" applyAlignment="1">
      <alignment horizontal="left"/>
    </xf>
    <xf numFmtId="41" fontId="0" fillId="0" borderId="0" xfId="5" applyFont="1" applyFill="1"/>
    <xf numFmtId="0" fontId="12" fillId="7" borderId="53" xfId="0" applyFont="1" applyFill="1" applyBorder="1" applyAlignment="1" applyProtection="1">
      <alignment horizontal="center" vertical="center" wrapText="1"/>
      <protection hidden="1"/>
    </xf>
    <xf numFmtId="0" fontId="12" fillId="7" borderId="40"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29" fillId="12" borderId="25" xfId="0" applyFont="1" applyFill="1" applyBorder="1" applyAlignment="1" applyProtection="1">
      <alignment vertical="top" wrapText="1"/>
      <protection hidden="1"/>
    </xf>
    <xf numFmtId="0" fontId="0" fillId="0" borderId="10" xfId="0" applyBorder="1" applyAlignment="1" applyProtection="1">
      <alignment horizontal="center" vertical="center"/>
      <protection hidden="1"/>
    </xf>
    <xf numFmtId="0" fontId="29" fillId="12" borderId="39" xfId="0" applyFont="1" applyFill="1" applyBorder="1" applyAlignment="1" applyProtection="1">
      <alignment vertical="top" wrapText="1"/>
      <protection hidden="1"/>
    </xf>
    <xf numFmtId="0" fontId="0" fillId="12" borderId="41" xfId="0" applyFill="1" applyBorder="1" applyAlignment="1" applyProtection="1">
      <alignment horizontal="center" vertical="center"/>
      <protection hidden="1"/>
    </xf>
    <xf numFmtId="0" fontId="0" fillId="0" borderId="41" xfId="0" applyBorder="1" applyAlignment="1" applyProtection="1">
      <alignment horizontal="center" vertical="center" wrapText="1"/>
      <protection hidden="1"/>
    </xf>
    <xf numFmtId="0" fontId="0" fillId="0" borderId="41" xfId="0" applyBorder="1" applyAlignment="1" applyProtection="1">
      <alignment horizontal="center" vertical="center"/>
      <protection hidden="1"/>
    </xf>
    <xf numFmtId="0" fontId="29" fillId="12" borderId="41" xfId="0" applyFont="1" applyFill="1" applyBorder="1" applyAlignment="1" applyProtection="1">
      <alignment vertical="top" wrapText="1"/>
      <protection hidden="1"/>
    </xf>
    <xf numFmtId="0" fontId="29" fillId="12" borderId="57" xfId="0" applyFont="1" applyFill="1" applyBorder="1" applyAlignment="1" applyProtection="1">
      <alignment vertical="top" wrapText="1"/>
      <protection hidden="1"/>
    </xf>
    <xf numFmtId="0" fontId="12" fillId="7" borderId="59" xfId="0" applyFont="1" applyFill="1" applyBorder="1" applyAlignment="1" applyProtection="1">
      <alignment horizontal="center" vertical="center" wrapText="1"/>
      <protection hidden="1"/>
    </xf>
    <xf numFmtId="0" fontId="12" fillId="13" borderId="47" xfId="0" applyFont="1" applyFill="1" applyBorder="1" applyAlignment="1" applyProtection="1">
      <alignment horizontal="center" vertical="center" wrapText="1"/>
      <protection hidden="1"/>
    </xf>
    <xf numFmtId="0" fontId="29" fillId="12" borderId="18" xfId="0" applyFont="1" applyFill="1" applyBorder="1" applyAlignment="1" applyProtection="1">
      <alignment horizontal="justify" vertical="top" wrapText="1"/>
    </xf>
    <xf numFmtId="0" fontId="12" fillId="0" borderId="40" xfId="0" applyFont="1" applyBorder="1" applyProtection="1">
      <protection hidden="1"/>
    </xf>
    <xf numFmtId="0" fontId="12" fillId="0" borderId="41" xfId="0" applyFont="1" applyBorder="1" applyProtection="1">
      <protection hidden="1"/>
    </xf>
    <xf numFmtId="0" fontId="0" fillId="12" borderId="21" xfId="0" applyFill="1" applyBorder="1" applyAlignment="1" applyProtection="1">
      <alignment horizontal="center" vertical="center"/>
    </xf>
    <xf numFmtId="0" fontId="12" fillId="7" borderId="11" xfId="0" applyFont="1" applyFill="1" applyBorder="1" applyAlignment="1" applyProtection="1">
      <alignment horizontal="center" vertical="center" wrapText="1"/>
      <protection hidden="1"/>
    </xf>
    <xf numFmtId="0" fontId="12" fillId="7" borderId="38" xfId="0" applyFont="1" applyFill="1" applyBorder="1" applyAlignment="1" applyProtection="1">
      <alignment horizontal="center" vertical="center" wrapText="1"/>
      <protection hidden="1"/>
    </xf>
    <xf numFmtId="0" fontId="17" fillId="0" borderId="9" xfId="0" applyFont="1" applyBorder="1" applyAlignment="1" applyProtection="1">
      <alignment vertical="center" wrapText="1"/>
      <protection hidden="1"/>
    </xf>
    <xf numFmtId="0" fontId="17" fillId="0" borderId="10" xfId="0" applyFont="1" applyBorder="1" applyAlignment="1" applyProtection="1">
      <alignment vertical="center" wrapText="1"/>
      <protection hidden="1"/>
    </xf>
    <xf numFmtId="0" fontId="17" fillId="0" borderId="41" xfId="0" applyFont="1" applyBorder="1" applyAlignment="1" applyProtection="1">
      <alignment vertical="center" wrapText="1"/>
      <protection hidden="1"/>
    </xf>
    <xf numFmtId="0" fontId="0" fillId="12" borderId="55" xfId="0" applyFill="1" applyBorder="1" applyAlignment="1" applyProtection="1">
      <alignment horizontal="center" vertical="center"/>
      <protection hidden="1"/>
    </xf>
    <xf numFmtId="0" fontId="0" fillId="12" borderId="21" xfId="0" applyFill="1" applyBorder="1" applyAlignment="1" applyProtection="1">
      <alignment horizontal="center" vertical="center"/>
      <protection hidden="1"/>
    </xf>
    <xf numFmtId="0" fontId="0" fillId="12" borderId="50" xfId="0" applyFill="1" applyBorder="1" applyAlignment="1" applyProtection="1">
      <alignment horizontal="center" vertical="center"/>
      <protection hidden="1"/>
    </xf>
    <xf numFmtId="0" fontId="0" fillId="12" borderId="63" xfId="0" applyFill="1" applyBorder="1" applyAlignment="1" applyProtection="1">
      <alignment horizontal="center" vertical="center"/>
      <protection hidden="1"/>
    </xf>
    <xf numFmtId="0" fontId="17" fillId="0" borderId="25" xfId="0" applyFont="1" applyBorder="1" applyAlignment="1" applyProtection="1">
      <alignment vertical="center" wrapText="1"/>
      <protection hidden="1"/>
    </xf>
    <xf numFmtId="0" fontId="17" fillId="0" borderId="46" xfId="0" applyFont="1" applyBorder="1" applyAlignment="1" applyProtection="1">
      <alignment vertical="center" wrapText="1"/>
      <protection hidden="1"/>
    </xf>
    <xf numFmtId="0" fontId="0" fillId="12" borderId="46" xfId="0" applyFill="1" applyBorder="1" applyAlignment="1" applyProtection="1">
      <alignment horizontal="center" vertical="center"/>
      <protection hidden="1"/>
    </xf>
    <xf numFmtId="0" fontId="0" fillId="0" borderId="46" xfId="0" applyBorder="1" applyAlignment="1" applyProtection="1">
      <alignment horizontal="center" vertical="center" wrapText="1"/>
      <protection hidden="1"/>
    </xf>
    <xf numFmtId="0" fontId="0" fillId="0" borderId="46" xfId="0" applyBorder="1" applyAlignment="1" applyProtection="1">
      <alignment horizontal="center" vertical="center"/>
      <protection hidden="1"/>
    </xf>
    <xf numFmtId="0" fontId="29" fillId="12" borderId="46" xfId="0" applyFont="1" applyFill="1" applyBorder="1" applyAlignment="1" applyProtection="1">
      <alignment vertical="top" wrapText="1"/>
      <protection hidden="1"/>
    </xf>
    <xf numFmtId="0" fontId="29" fillId="12" borderId="64" xfId="0" applyFont="1" applyFill="1" applyBorder="1" applyAlignment="1" applyProtection="1">
      <alignment vertical="top" wrapText="1"/>
      <protection hidden="1"/>
    </xf>
    <xf numFmtId="0" fontId="17" fillId="0" borderId="35" xfId="0" applyFont="1" applyBorder="1" applyAlignment="1" applyProtection="1">
      <alignment horizontal="center"/>
      <protection hidden="1"/>
    </xf>
    <xf numFmtId="0" fontId="20" fillId="0" borderId="35"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protection hidden="1"/>
    </xf>
    <xf numFmtId="0" fontId="0" fillId="12" borderId="35" xfId="0" applyFill="1" applyBorder="1" applyAlignment="1" applyProtection="1">
      <alignment horizontal="center" vertical="center"/>
      <protection hidden="1"/>
    </xf>
    <xf numFmtId="0" fontId="0" fillId="12" borderId="65" xfId="0" applyFill="1" applyBorder="1" applyAlignment="1" applyProtection="1">
      <alignment horizontal="center" vertical="center"/>
      <protection hidden="1"/>
    </xf>
    <xf numFmtId="0" fontId="37" fillId="0" borderId="0" xfId="0" applyFont="1" applyAlignment="1">
      <alignment horizontal="left"/>
    </xf>
    <xf numFmtId="0" fontId="0" fillId="0" borderId="0" xfId="0" applyAlignment="1">
      <alignment horizontal="left"/>
    </xf>
    <xf numFmtId="0" fontId="30" fillId="0" borderId="0" xfId="0" applyFont="1" applyAlignment="1">
      <alignment horizontal="left"/>
    </xf>
    <xf numFmtId="0" fontId="17" fillId="0" borderId="0" xfId="0" applyFont="1" applyAlignment="1">
      <alignment horizontal="left"/>
    </xf>
    <xf numFmtId="0" fontId="0" fillId="5" borderId="0" xfId="2" applyNumberFormat="1" applyFont="1" applyFill="1" applyBorder="1" applyAlignment="1">
      <alignment horizontal="left" vertical="center"/>
    </xf>
    <xf numFmtId="0" fontId="0" fillId="0" borderId="0" xfId="0" applyNumberFormat="1" applyFont="1"/>
    <xf numFmtId="0" fontId="0" fillId="0" borderId="0" xfId="0" applyFont="1" applyFill="1" applyAlignment="1" applyProtection="1">
      <protection hidden="1"/>
    </xf>
    <xf numFmtId="0" fontId="0" fillId="0" borderId="0" xfId="0" applyFont="1" applyBorder="1" applyAlignment="1">
      <alignment horizontal="left" vertical="center"/>
    </xf>
    <xf numFmtId="0" fontId="0" fillId="5" borderId="0" xfId="0" applyFont="1" applyFill="1" applyBorder="1" applyAlignment="1">
      <alignment horizontal="left" vertical="center"/>
    </xf>
    <xf numFmtId="2" fontId="0" fillId="0" borderId="0" xfId="2" applyNumberFormat="1" applyFont="1" applyFill="1" applyBorder="1" applyAlignment="1">
      <alignment horizontal="left" vertical="center"/>
    </xf>
    <xf numFmtId="9" fontId="0" fillId="0" borderId="0" xfId="0" applyNumberFormat="1" applyFont="1" applyFill="1" applyBorder="1" applyAlignment="1">
      <alignment horizontal="left" vertical="center"/>
    </xf>
    <xf numFmtId="9" fontId="0" fillId="0" borderId="0" xfId="0" applyNumberFormat="1" applyFont="1" applyFill="1" applyBorder="1" applyAlignment="1" applyProtection="1">
      <alignment horizontal="left" vertical="center" wrapText="1"/>
      <protection locked="0"/>
    </xf>
    <xf numFmtId="0" fontId="0" fillId="0" borderId="0" xfId="0" applyFont="1" applyFill="1" applyBorder="1" applyAlignment="1">
      <alignment horizontal="left"/>
    </xf>
    <xf numFmtId="0" fontId="0" fillId="0" borderId="0" xfId="0" applyFont="1" applyFill="1" applyBorder="1" applyAlignment="1">
      <alignment horizontal="left" vertical="center"/>
    </xf>
    <xf numFmtId="9" fontId="0" fillId="15" borderId="0" xfId="0" applyNumberFormat="1" applyFont="1" applyFill="1" applyBorder="1" applyAlignment="1">
      <alignment horizontal="left" vertical="center"/>
    </xf>
    <xf numFmtId="0" fontId="0" fillId="0" borderId="0" xfId="0" applyFont="1" applyBorder="1" applyAlignment="1" applyProtection="1">
      <alignment horizontal="left"/>
      <protection hidden="1"/>
    </xf>
    <xf numFmtId="2" fontId="0" fillId="0" borderId="0" xfId="0" applyNumberFormat="1" applyFont="1" applyBorder="1" applyAlignment="1" applyProtection="1">
      <alignment horizontal="left"/>
      <protection hidden="1"/>
    </xf>
    <xf numFmtId="0" fontId="0" fillId="0" borderId="0" xfId="0" applyFont="1" applyFill="1" applyBorder="1" applyAlignment="1" applyProtection="1">
      <alignment horizontal="left"/>
      <protection hidden="1"/>
    </xf>
    <xf numFmtId="0" fontId="0" fillId="0" borderId="0" xfId="0" applyFont="1" applyBorder="1" applyAlignment="1">
      <alignment horizontal="center"/>
    </xf>
    <xf numFmtId="9" fontId="0" fillId="0" borderId="0" xfId="2" applyFont="1" applyFill="1" applyBorder="1" applyAlignment="1" applyProtection="1">
      <alignment horizontal="left" vertical="center" wrapText="1"/>
      <protection locked="0"/>
    </xf>
    <xf numFmtId="10" fontId="0" fillId="0" borderId="0" xfId="0" applyNumberFormat="1" applyFont="1" applyFill="1" applyBorder="1" applyAlignment="1" applyProtection="1">
      <alignment horizontal="left" vertical="center" wrapText="1"/>
      <protection locked="0"/>
    </xf>
    <xf numFmtId="9" fontId="0" fillId="15" borderId="0" xfId="2" applyFont="1" applyFill="1" applyBorder="1" applyAlignment="1" applyProtection="1">
      <alignment horizontal="left" vertical="center" wrapText="1"/>
      <protection locked="0"/>
    </xf>
    <xf numFmtId="0" fontId="0" fillId="5" borderId="0" xfId="0" applyNumberFormat="1" applyFont="1" applyFill="1" applyAlignment="1" applyProtection="1">
      <protection hidden="1"/>
    </xf>
    <xf numFmtId="0" fontId="0" fillId="5" borderId="0" xfId="0" applyNumberFormat="1" applyFont="1" applyFill="1" applyProtection="1">
      <protection hidden="1"/>
    </xf>
    <xf numFmtId="0" fontId="0" fillId="5" borderId="0" xfId="0" applyNumberFormat="1" applyFont="1" applyFill="1"/>
    <xf numFmtId="0" fontId="0" fillId="5" borderId="0" xfId="0" applyNumberFormat="1" applyFont="1" applyFill="1" applyBorder="1" applyAlignment="1">
      <alignment horizontal="left"/>
    </xf>
    <xf numFmtId="0" fontId="0" fillId="5" borderId="0" xfId="0" applyNumberFormat="1" applyFont="1" applyFill="1" applyBorder="1" applyAlignment="1" applyProtection="1">
      <alignment horizontal="left" vertical="center" wrapText="1"/>
      <protection locked="0"/>
    </xf>
    <xf numFmtId="41" fontId="0" fillId="0" borderId="0" xfId="5" applyFont="1" applyFill="1" applyBorder="1" applyAlignment="1">
      <alignment horizontal="left" vertical="center"/>
    </xf>
    <xf numFmtId="0" fontId="31" fillId="0" borderId="1" xfId="0" applyFont="1" applyBorder="1" applyAlignment="1">
      <alignment vertical="center"/>
    </xf>
    <xf numFmtId="0" fontId="31" fillId="0" borderId="2" xfId="0" applyFont="1" applyBorder="1"/>
    <xf numFmtId="0" fontId="0" fillId="0" borderId="2" xfId="0" applyBorder="1"/>
    <xf numFmtId="0" fontId="0" fillId="0" borderId="3" xfId="0" applyBorder="1"/>
    <xf numFmtId="0" fontId="0" fillId="0" borderId="35" xfId="0" applyBorder="1" applyAlignment="1" applyProtection="1">
      <alignment horizontal="center" vertical="center" wrapText="1"/>
      <protection hidden="1"/>
    </xf>
    <xf numFmtId="0" fontId="0" fillId="0" borderId="35" xfId="0" applyBorder="1" applyAlignment="1" applyProtection="1">
      <alignment horizontal="center" vertical="center"/>
      <protection hidden="1"/>
    </xf>
    <xf numFmtId="0" fontId="29" fillId="12" borderId="35" xfId="0" applyFont="1" applyFill="1" applyBorder="1" applyAlignment="1" applyProtection="1">
      <alignment vertical="top" wrapText="1"/>
      <protection hidden="1"/>
    </xf>
    <xf numFmtId="0" fontId="29" fillId="12" borderId="66" xfId="0" applyFont="1" applyFill="1" applyBorder="1" applyAlignment="1" applyProtection="1">
      <alignment vertical="top" wrapText="1"/>
      <protection hidden="1"/>
    </xf>
    <xf numFmtId="0" fontId="17" fillId="0" borderId="43" xfId="0" applyFont="1" applyBorder="1" applyAlignment="1" applyProtection="1">
      <alignment horizontal="center" vertical="center" wrapText="1"/>
      <protection hidden="1"/>
    </xf>
    <xf numFmtId="9" fontId="0" fillId="0" borderId="0" xfId="2" applyFont="1" applyProtection="1">
      <protection hidden="1"/>
    </xf>
    <xf numFmtId="0" fontId="0" fillId="0" borderId="0" xfId="0" applyAlignment="1">
      <alignment horizontal="right"/>
    </xf>
    <xf numFmtId="0" fontId="0" fillId="0" borderId="35" xfId="0" applyBorder="1"/>
    <xf numFmtId="0" fontId="0" fillId="0" borderId="40" xfId="0" applyBorder="1"/>
    <xf numFmtId="0" fontId="0" fillId="0" borderId="25" xfId="0" applyBorder="1"/>
    <xf numFmtId="0" fontId="0" fillId="0" borderId="0" xfId="0" applyAlignment="1"/>
    <xf numFmtId="0" fontId="0" fillId="12" borderId="15" xfId="0" applyFill="1" applyBorder="1" applyAlignment="1" applyProtection="1">
      <alignment horizontal="left" vertical="center" wrapText="1"/>
    </xf>
    <xf numFmtId="0" fontId="0" fillId="12" borderId="18" xfId="0" applyFill="1" applyBorder="1" applyAlignment="1" applyProtection="1">
      <alignment horizontal="left" vertical="center" wrapText="1"/>
    </xf>
    <xf numFmtId="0" fontId="0" fillId="12" borderId="15" xfId="0" applyFill="1" applyBorder="1" applyAlignment="1" applyProtection="1">
      <alignment horizontal="left" vertical="center" wrapText="1"/>
      <protection hidden="1"/>
    </xf>
    <xf numFmtId="0" fontId="29" fillId="23" borderId="10" xfId="0" applyFont="1" applyFill="1" applyBorder="1" applyAlignment="1" applyProtection="1">
      <alignment vertical="top" wrapText="1"/>
      <protection hidden="1"/>
    </xf>
    <xf numFmtId="0" fontId="29" fillId="23" borderId="15" xfId="0" applyFont="1" applyFill="1" applyBorder="1" applyAlignment="1" applyProtection="1">
      <alignment vertical="top" wrapText="1"/>
      <protection hidden="1"/>
    </xf>
    <xf numFmtId="0" fontId="29" fillId="23" borderId="16" xfId="0" applyFont="1" applyFill="1" applyBorder="1" applyAlignment="1" applyProtection="1">
      <alignment vertical="top" wrapText="1"/>
      <protection hidden="1"/>
    </xf>
    <xf numFmtId="0" fontId="29" fillId="23" borderId="18" xfId="0" applyFont="1" applyFill="1" applyBorder="1" applyAlignment="1" applyProtection="1">
      <alignment vertical="top" wrapText="1"/>
      <protection hidden="1"/>
    </xf>
    <xf numFmtId="0" fontId="29" fillId="23" borderId="19" xfId="0" applyFont="1" applyFill="1" applyBorder="1" applyAlignment="1" applyProtection="1">
      <alignment vertical="top" wrapText="1"/>
      <protection hidden="1"/>
    </xf>
    <xf numFmtId="0" fontId="0" fillId="12" borderId="15" xfId="0" applyFill="1" applyBorder="1" applyAlignment="1" applyProtection="1">
      <alignment horizontal="center" vertical="center" wrapText="1"/>
      <protection hidden="1"/>
    </xf>
    <xf numFmtId="0" fontId="0" fillId="12" borderId="21" xfId="0" applyFill="1" applyBorder="1" applyAlignment="1" applyProtection="1">
      <alignment horizontal="center" vertical="center" wrapText="1"/>
      <protection hidden="1"/>
    </xf>
    <xf numFmtId="0" fontId="0" fillId="12" borderId="18" xfId="0" applyFill="1" applyBorder="1" applyAlignment="1" applyProtection="1">
      <alignment horizontal="center" vertical="center" wrapText="1"/>
      <protection hidden="1"/>
    </xf>
    <xf numFmtId="0" fontId="0" fillId="12" borderId="50" xfId="0" applyFill="1" applyBorder="1" applyAlignment="1" applyProtection="1">
      <alignment horizontal="center" vertical="center" wrapText="1"/>
      <protection hidden="1"/>
    </xf>
    <xf numFmtId="0" fontId="30" fillId="12" borderId="15" xfId="0" applyFont="1" applyFill="1" applyBorder="1" applyAlignment="1" applyProtection="1">
      <alignment horizontal="center" vertical="center"/>
    </xf>
    <xf numFmtId="0" fontId="0" fillId="12" borderId="25" xfId="0" applyFill="1" applyBorder="1" applyAlignment="1" applyProtection="1">
      <alignment horizontal="center" vertical="center" wrapText="1"/>
    </xf>
    <xf numFmtId="0" fontId="0" fillId="12" borderId="15" xfId="0" applyFill="1" applyBorder="1" applyAlignment="1" applyProtection="1">
      <alignment horizontal="center" vertical="top" wrapText="1"/>
    </xf>
    <xf numFmtId="0" fontId="0" fillId="12" borderId="18" xfId="0" applyFill="1" applyBorder="1" applyAlignment="1" applyProtection="1">
      <alignment horizontal="center" vertical="top" wrapText="1"/>
    </xf>
    <xf numFmtId="10" fontId="16" fillId="24" borderId="15" xfId="0" applyNumberFormat="1" applyFont="1" applyFill="1" applyBorder="1" applyAlignment="1" applyProtection="1">
      <alignment horizontal="center" vertical="center" wrapText="1"/>
    </xf>
    <xf numFmtId="0" fontId="41" fillId="24" borderId="15" xfId="0" applyFont="1" applyFill="1" applyBorder="1" applyAlignment="1" applyProtection="1">
      <alignment vertical="top" wrapText="1"/>
    </xf>
    <xf numFmtId="0" fontId="41" fillId="24" borderId="25" xfId="0" applyFont="1" applyFill="1" applyBorder="1" applyAlignment="1" applyProtection="1">
      <alignment vertical="top" wrapText="1"/>
    </xf>
    <xf numFmtId="0" fontId="16" fillId="24" borderId="10" xfId="0" applyFont="1" applyFill="1" applyBorder="1" applyAlignment="1" applyProtection="1">
      <alignment horizontal="center" vertical="center"/>
    </xf>
    <xf numFmtId="0" fontId="16" fillId="24" borderId="15" xfId="0" applyFont="1" applyFill="1" applyBorder="1" applyAlignment="1" applyProtection="1">
      <alignment horizontal="center" vertical="center"/>
    </xf>
    <xf numFmtId="0" fontId="16" fillId="24" borderId="15" xfId="0" applyFont="1" applyFill="1" applyBorder="1" applyAlignment="1" applyProtection="1">
      <alignment horizontal="center" vertical="center" wrapText="1"/>
    </xf>
    <xf numFmtId="0" fontId="16" fillId="24" borderId="18" xfId="0" applyFont="1" applyFill="1" applyBorder="1" applyAlignment="1" applyProtection="1">
      <alignment horizontal="center" vertical="center" wrapText="1"/>
    </xf>
    <xf numFmtId="0" fontId="0" fillId="12" borderId="25" xfId="0" applyFill="1" applyBorder="1" applyAlignment="1" applyProtection="1">
      <alignment horizontal="center" vertical="center" wrapText="1"/>
      <protection hidden="1"/>
    </xf>
    <xf numFmtId="0" fontId="0" fillId="12" borderId="63" xfId="0" applyFill="1" applyBorder="1" applyAlignment="1" applyProtection="1">
      <alignment horizontal="center" vertical="center" wrapText="1"/>
      <protection hidden="1"/>
    </xf>
    <xf numFmtId="9" fontId="0" fillId="12" borderId="15" xfId="0" applyNumberFormat="1" applyFill="1" applyBorder="1" applyAlignment="1" applyProtection="1">
      <alignment horizontal="center" vertical="center" wrapText="1"/>
      <protection hidden="1"/>
    </xf>
    <xf numFmtId="0" fontId="29" fillId="21" borderId="15" xfId="0" applyFont="1" applyFill="1" applyBorder="1" applyAlignment="1" applyProtection="1">
      <alignment vertical="top" wrapText="1"/>
      <protection hidden="1"/>
    </xf>
    <xf numFmtId="0" fontId="29" fillId="23" borderId="11" xfId="0" applyFont="1" applyFill="1" applyBorder="1" applyAlignment="1" applyProtection="1">
      <alignment vertical="top" wrapText="1"/>
      <protection hidden="1"/>
    </xf>
    <xf numFmtId="0" fontId="37" fillId="12" borderId="15" xfId="0" applyFont="1" applyFill="1" applyBorder="1" applyAlignment="1" applyProtection="1">
      <alignment horizontal="center" vertical="center" wrapText="1"/>
      <protection hidden="1"/>
    </xf>
    <xf numFmtId="9" fontId="37" fillId="12" borderId="15" xfId="2" applyFont="1" applyFill="1" applyBorder="1" applyAlignment="1" applyProtection="1">
      <alignment horizontal="center" vertical="center" wrapText="1"/>
    </xf>
    <xf numFmtId="2" fontId="37" fillId="12" borderId="15" xfId="0" applyNumberFormat="1" applyFont="1" applyFill="1" applyBorder="1" applyAlignment="1" applyProtection="1">
      <alignment horizontal="center" vertical="center" wrapText="1"/>
    </xf>
    <xf numFmtId="0" fontId="37" fillId="12" borderId="25" xfId="0" applyFont="1" applyFill="1" applyBorder="1" applyAlignment="1" applyProtection="1">
      <alignment horizontal="center" vertical="center"/>
      <protection hidden="1"/>
    </xf>
    <xf numFmtId="0" fontId="16" fillId="12" borderId="15" xfId="0" applyFont="1" applyFill="1" applyBorder="1" applyAlignment="1" applyProtection="1">
      <alignment vertical="top" wrapText="1"/>
    </xf>
    <xf numFmtId="0" fontId="0" fillId="12" borderId="15" xfId="0" applyFill="1" applyBorder="1" applyAlignment="1" applyProtection="1">
      <alignment horizontal="left" vertical="top" wrapText="1"/>
      <protection hidden="1"/>
    </xf>
    <xf numFmtId="0" fontId="29" fillId="12" borderId="15" xfId="0" applyFont="1" applyFill="1" applyBorder="1" applyAlignment="1" applyProtection="1">
      <alignment vertical="center" wrapText="1"/>
      <protection hidden="1"/>
    </xf>
    <xf numFmtId="0" fontId="0" fillId="12" borderId="15" xfId="0" applyFill="1" applyBorder="1" applyAlignment="1" applyProtection="1">
      <alignment horizontal="justify" vertical="center" wrapText="1"/>
    </xf>
    <xf numFmtId="0" fontId="0" fillId="12" borderId="18" xfId="0" applyFill="1" applyBorder="1" applyAlignment="1" applyProtection="1">
      <alignment horizontal="justify" vertical="center" wrapText="1"/>
    </xf>
    <xf numFmtId="0" fontId="0" fillId="0" borderId="0" xfId="0" applyFont="1" applyFill="1" applyBorder="1" applyAlignment="1">
      <alignment horizontal="center"/>
    </xf>
    <xf numFmtId="0" fontId="0" fillId="23" borderId="0" xfId="0" applyFont="1" applyFill="1"/>
    <xf numFmtId="0" fontId="0" fillId="12" borderId="35" xfId="0"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0" fillId="12" borderId="35" xfId="0" applyFill="1" applyBorder="1" applyAlignment="1" applyProtection="1">
      <alignment horizontal="left" vertical="top" wrapText="1"/>
    </xf>
    <xf numFmtId="0" fontId="0" fillId="12" borderId="35" xfId="0" applyFill="1" applyBorder="1" applyAlignment="1" applyProtection="1">
      <alignment horizontal="center" vertical="center"/>
    </xf>
    <xf numFmtId="0" fontId="0" fillId="12" borderId="35" xfId="0" applyFont="1" applyFill="1" applyBorder="1" applyAlignment="1" applyProtection="1">
      <alignment horizontal="center" vertical="center" wrapText="1"/>
    </xf>
    <xf numFmtId="0" fontId="17" fillId="0" borderId="69" xfId="0" applyFont="1" applyBorder="1"/>
    <xf numFmtId="0" fontId="0" fillId="0" borderId="0" xfId="0" applyAlignment="1" applyProtection="1">
      <alignment horizontal="center"/>
      <protection hidden="1"/>
    </xf>
    <xf numFmtId="0" fontId="17" fillId="0" borderId="70" xfId="0" applyFont="1" applyBorder="1" applyAlignment="1">
      <alignment wrapText="1"/>
    </xf>
    <xf numFmtId="14" fontId="17" fillId="0" borderId="70" xfId="0" applyNumberFormat="1" applyFont="1" applyBorder="1" applyAlignment="1">
      <alignment wrapText="1"/>
    </xf>
    <xf numFmtId="0" fontId="0" fillId="0" borderId="0" xfId="0" applyAlignment="1">
      <alignment wrapText="1"/>
    </xf>
    <xf numFmtId="14" fontId="0" fillId="23" borderId="0" xfId="0" applyNumberFormat="1" applyFill="1"/>
    <xf numFmtId="0" fontId="0" fillId="23" borderId="0" xfId="0" applyFill="1"/>
    <xf numFmtId="0" fontId="0" fillId="11" borderId="0" xfId="0" applyFont="1" applyFill="1" applyAlignment="1">
      <alignment horizontal="center"/>
    </xf>
    <xf numFmtId="0" fontId="0" fillId="11" borderId="0" xfId="0" applyFont="1" applyFill="1" applyProtection="1">
      <protection hidden="1"/>
    </xf>
    <xf numFmtId="0" fontId="0" fillId="11" borderId="0" xfId="0" applyFont="1" applyFill="1"/>
    <xf numFmtId="0" fontId="0" fillId="11" borderId="0" xfId="0" applyFont="1" applyFill="1" applyBorder="1" applyAlignment="1">
      <alignment horizontal="left"/>
    </xf>
    <xf numFmtId="0" fontId="0" fillId="11" borderId="0" xfId="0" applyFont="1" applyFill="1" applyBorder="1" applyAlignment="1">
      <alignment horizontal="left" vertical="center"/>
    </xf>
    <xf numFmtId="0" fontId="0" fillId="11" borderId="0" xfId="0" applyNumberFormat="1" applyFont="1" applyFill="1" applyBorder="1" applyAlignment="1">
      <alignment horizontal="left"/>
    </xf>
    <xf numFmtId="0" fontId="0" fillId="11" borderId="0" xfId="0" applyNumberFormat="1" applyFont="1" applyFill="1" applyBorder="1" applyAlignment="1">
      <alignment horizontal="left" vertical="center"/>
    </xf>
    <xf numFmtId="0" fontId="0" fillId="11" borderId="0" xfId="0" applyFont="1" applyFill="1" applyAlignment="1" applyProtection="1">
      <alignment horizontal="left" vertical="top"/>
      <protection hidden="1"/>
    </xf>
    <xf numFmtId="2" fontId="0" fillId="11" borderId="0" xfId="0" applyNumberFormat="1" applyFont="1" applyFill="1"/>
    <xf numFmtId="0" fontId="0" fillId="12" borderId="10" xfId="0" applyFill="1" applyBorder="1" applyAlignment="1" applyProtection="1">
      <alignment horizontal="center" vertical="center" wrapText="1"/>
    </xf>
    <xf numFmtId="0" fontId="0" fillId="12" borderId="39" xfId="0" applyFill="1" applyBorder="1" applyAlignment="1" applyProtection="1">
      <alignment horizontal="center" vertical="center"/>
    </xf>
    <xf numFmtId="0" fontId="16" fillId="24" borderId="25" xfId="0" applyFont="1" applyFill="1" applyBorder="1" applyAlignment="1" applyProtection="1">
      <alignment horizontal="center" vertical="center"/>
    </xf>
    <xf numFmtId="0" fontId="17" fillId="0" borderId="67" xfId="0" applyFont="1" applyBorder="1" applyAlignment="1" applyProtection="1">
      <alignment vertical="center" wrapText="1"/>
      <protection hidden="1"/>
    </xf>
    <xf numFmtId="0" fontId="17" fillId="0" borderId="35" xfId="0" applyFont="1" applyBorder="1" applyAlignment="1" applyProtection="1">
      <alignment vertical="center" wrapText="1"/>
      <protection hidden="1"/>
    </xf>
    <xf numFmtId="0" fontId="29" fillId="23" borderId="35" xfId="0" applyFont="1" applyFill="1" applyBorder="1" applyAlignment="1" applyProtection="1">
      <alignment vertical="top" wrapText="1"/>
      <protection hidden="1"/>
    </xf>
    <xf numFmtId="0" fontId="29" fillId="23" borderId="66" xfId="0" applyFont="1" applyFill="1" applyBorder="1" applyAlignment="1" applyProtection="1">
      <alignment vertical="top" wrapText="1"/>
      <protection hidden="1"/>
    </xf>
    <xf numFmtId="0" fontId="0" fillId="12" borderId="10" xfId="0" applyFill="1" applyBorder="1" applyAlignment="1" applyProtection="1">
      <alignment horizontal="center" vertical="center" wrapText="1"/>
      <protection hidden="1"/>
    </xf>
    <xf numFmtId="0" fontId="0" fillId="12" borderId="55" xfId="0" applyFill="1" applyBorder="1" applyAlignment="1" applyProtection="1">
      <alignment horizontal="center" vertical="center" wrapText="1"/>
      <protection hidden="1"/>
    </xf>
    <xf numFmtId="0" fontId="0" fillId="12" borderId="35" xfId="0" applyFill="1" applyBorder="1" applyAlignment="1" applyProtection="1">
      <alignment horizontal="center" vertical="center" wrapText="1"/>
      <protection hidden="1"/>
    </xf>
    <xf numFmtId="0" fontId="0" fillId="12" borderId="65" xfId="0" applyFill="1" applyBorder="1" applyAlignment="1" applyProtection="1">
      <alignment horizontal="center" vertical="center" wrapText="1"/>
      <protection hidden="1"/>
    </xf>
    <xf numFmtId="0" fontId="37" fillId="12" borderId="35" xfId="0" applyFont="1" applyFill="1" applyBorder="1" applyAlignment="1" applyProtection="1">
      <alignment horizontal="center" vertical="center" wrapText="1"/>
      <protection hidden="1"/>
    </xf>
    <xf numFmtId="0" fontId="37" fillId="12" borderId="15" xfId="0" applyFont="1" applyFill="1" applyBorder="1" applyAlignment="1" applyProtection="1">
      <alignment horizontal="center" vertical="center"/>
      <protection hidden="1"/>
    </xf>
    <xf numFmtId="0" fontId="37" fillId="12" borderId="10" xfId="0" applyFont="1" applyFill="1" applyBorder="1" applyAlignment="1" applyProtection="1">
      <alignment horizontal="center" vertical="center"/>
      <protection hidden="1"/>
    </xf>
    <xf numFmtId="2" fontId="37" fillId="12" borderId="18" xfId="0" applyNumberFormat="1" applyFont="1" applyFill="1" applyBorder="1" applyAlignment="1" applyProtection="1">
      <alignment horizontal="center" vertical="center" wrapText="1"/>
    </xf>
    <xf numFmtId="0" fontId="0" fillId="23" borderId="0" xfId="0" applyFont="1" applyFill="1" applyBorder="1" applyAlignment="1">
      <alignment horizontal="left"/>
    </xf>
    <xf numFmtId="0" fontId="0" fillId="0" borderId="0" xfId="0" applyAlignment="1">
      <alignment vertical="center"/>
    </xf>
    <xf numFmtId="14" fontId="0" fillId="0" borderId="0" xfId="0" applyNumberFormat="1" applyAlignment="1">
      <alignment vertical="center"/>
    </xf>
    <xf numFmtId="0" fontId="0" fillId="0" borderId="0" xfId="0" applyAlignment="1">
      <alignment vertical="center" wrapText="1"/>
    </xf>
    <xf numFmtId="0" fontId="0" fillId="0" borderId="0" xfId="0" applyAlignment="1">
      <alignment horizontal="right" vertical="center"/>
    </xf>
    <xf numFmtId="17" fontId="0" fillId="0" borderId="0" xfId="0" applyNumberFormat="1" applyAlignment="1">
      <alignment vertical="center"/>
    </xf>
    <xf numFmtId="0" fontId="0" fillId="23" borderId="0" xfId="0" applyFill="1" applyAlignment="1">
      <alignment vertical="center"/>
    </xf>
    <xf numFmtId="14" fontId="0" fillId="23" borderId="0" xfId="0" applyNumberFormat="1" applyFill="1" applyAlignment="1">
      <alignment vertical="center"/>
    </xf>
    <xf numFmtId="0" fontId="0" fillId="0" borderId="0" xfId="0" applyNumberFormat="1"/>
    <xf numFmtId="14" fontId="0" fillId="0" borderId="0" xfId="0" applyNumberFormat="1" applyAlignment="1">
      <alignment wrapText="1"/>
    </xf>
    <xf numFmtId="0" fontId="29" fillId="12" borderId="15" xfId="0" applyFont="1" applyFill="1" applyBorder="1" applyAlignment="1" applyProtection="1">
      <alignment horizontal="justify" vertical="center" wrapText="1"/>
      <protection hidden="1"/>
    </xf>
    <xf numFmtId="0" fontId="29" fillId="12" borderId="15" xfId="0" applyFont="1" applyFill="1" applyBorder="1" applyAlignment="1" applyProtection="1">
      <alignment horizontal="justify" vertical="top" wrapText="1"/>
      <protection hidden="1"/>
    </xf>
    <xf numFmtId="0" fontId="29" fillId="12" borderId="21" xfId="0" applyFont="1" applyFill="1" applyBorder="1" applyAlignment="1" applyProtection="1">
      <alignment horizontal="justify" vertical="top" wrapText="1"/>
      <protection hidden="1"/>
    </xf>
    <xf numFmtId="0" fontId="0" fillId="12" borderId="0" xfId="0" applyFill="1" applyAlignment="1" applyProtection="1">
      <alignment horizontal="center" vertical="center"/>
      <protection hidden="1"/>
    </xf>
    <xf numFmtId="0" fontId="29" fillId="12" borderId="15" xfId="0" applyFont="1" applyFill="1" applyBorder="1" applyAlignment="1" applyProtection="1">
      <alignment horizontal="justify" vertical="center"/>
    </xf>
    <xf numFmtId="0" fontId="29" fillId="12" borderId="35" xfId="0" applyFont="1" applyFill="1" applyBorder="1" applyAlignment="1" applyProtection="1">
      <alignment horizontal="justify" vertical="center" wrapText="1"/>
    </xf>
    <xf numFmtId="0" fontId="29" fillId="12" borderId="35" xfId="0" applyFont="1" applyFill="1" applyBorder="1" applyAlignment="1" applyProtection="1">
      <alignment horizontal="justify" vertical="center" wrapText="1"/>
      <protection hidden="1"/>
    </xf>
    <xf numFmtId="0" fontId="29" fillId="12" borderId="35" xfId="0" applyFont="1" applyFill="1" applyBorder="1" applyAlignment="1" applyProtection="1">
      <alignment vertical="top" wrapText="1"/>
    </xf>
    <xf numFmtId="0" fontId="29" fillId="12" borderId="10" xfId="0" applyFont="1" applyFill="1" applyBorder="1" applyAlignment="1" applyProtection="1">
      <alignment horizontal="center" vertical="center"/>
      <protection hidden="1"/>
    </xf>
    <xf numFmtId="0" fontId="29" fillId="12" borderId="10" xfId="0" applyFont="1" applyFill="1" applyBorder="1" applyAlignment="1" applyProtection="1">
      <alignment horizontal="center" vertical="center" wrapText="1"/>
      <protection hidden="1"/>
    </xf>
    <xf numFmtId="0" fontId="29" fillId="12" borderId="55" xfId="0" applyFont="1" applyFill="1" applyBorder="1" applyAlignment="1" applyProtection="1">
      <alignment horizontal="center" vertical="center"/>
      <protection hidden="1"/>
    </xf>
    <xf numFmtId="0" fontId="29" fillId="12" borderId="15" xfId="0" applyFont="1" applyFill="1" applyBorder="1" applyAlignment="1" applyProtection="1">
      <alignment horizontal="justify" vertical="center"/>
      <protection hidden="1"/>
    </xf>
    <xf numFmtId="0" fontId="29" fillId="12" borderId="21" xfId="0" applyFont="1" applyFill="1" applyBorder="1" applyAlignment="1" applyProtection="1">
      <alignment horizontal="justify" vertical="center"/>
      <protection hidden="1"/>
    </xf>
    <xf numFmtId="0" fontId="29" fillId="12" borderId="25" xfId="0" applyFont="1" applyFill="1" applyBorder="1" applyAlignment="1" applyProtection="1">
      <alignment horizontal="justify" vertical="top" wrapText="1"/>
      <protection hidden="1"/>
    </xf>
    <xf numFmtId="0" fontId="29" fillId="12" borderId="15" xfId="0" applyFont="1" applyFill="1" applyBorder="1" applyAlignment="1" applyProtection="1">
      <alignment horizontal="center" vertical="center"/>
      <protection hidden="1"/>
    </xf>
    <xf numFmtId="0" fontId="29" fillId="12" borderId="18" xfId="0" applyFont="1" applyFill="1" applyBorder="1" applyAlignment="1" applyProtection="1">
      <alignment horizontal="center" vertical="center"/>
      <protection hidden="1"/>
    </xf>
    <xf numFmtId="0" fontId="29" fillId="12" borderId="18" xfId="0" applyFont="1" applyFill="1" applyBorder="1" applyAlignment="1" applyProtection="1">
      <alignment horizontal="justify" vertical="top" wrapText="1"/>
      <protection hidden="1"/>
    </xf>
    <xf numFmtId="0" fontId="29" fillId="12" borderId="50" xfId="0" applyFont="1" applyFill="1" applyBorder="1" applyAlignment="1" applyProtection="1">
      <alignment horizontal="justify" vertical="top" wrapText="1"/>
      <protection hidden="1"/>
    </xf>
    <xf numFmtId="0" fontId="0" fillId="12" borderId="0" xfId="0" applyFill="1" applyBorder="1" applyAlignment="1" applyProtection="1">
      <alignment horizontal="center" vertical="center"/>
      <protection hidden="1"/>
    </xf>
    <xf numFmtId="0" fontId="29" fillId="12" borderId="35" xfId="0" applyFont="1" applyFill="1" applyBorder="1" applyAlignment="1" applyProtection="1">
      <alignment horizontal="justify" vertical="center"/>
      <protection hidden="1"/>
    </xf>
    <xf numFmtId="1" fontId="3" fillId="0" borderId="15" xfId="3" applyNumberFormat="1" applyFont="1" applyBorder="1" applyAlignment="1" applyProtection="1">
      <alignment horizontal="center" vertical="center"/>
      <protection hidden="1"/>
    </xf>
    <xf numFmtId="1" fontId="26" fillId="0" borderId="18" xfId="0" applyNumberFormat="1" applyFont="1" applyBorder="1" applyAlignment="1" applyProtection="1">
      <alignment horizontal="center" vertical="center"/>
      <protection hidden="1"/>
    </xf>
    <xf numFmtId="3" fontId="0" fillId="12" borderId="10" xfId="0" applyNumberFormat="1" applyFill="1" applyBorder="1" applyAlignment="1" applyProtection="1">
      <alignment horizontal="center" vertical="center"/>
    </xf>
    <xf numFmtId="3" fontId="0" fillId="12" borderId="10" xfId="0" applyNumberFormat="1" applyFill="1" applyBorder="1" applyAlignment="1" applyProtection="1">
      <alignment horizontal="center" vertical="center"/>
      <protection hidden="1"/>
    </xf>
    <xf numFmtId="3" fontId="0" fillId="12" borderId="55" xfId="0" applyNumberFormat="1" applyFill="1" applyBorder="1" applyAlignment="1" applyProtection="1">
      <alignment horizontal="center" vertical="center"/>
      <protection hidden="1"/>
    </xf>
    <xf numFmtId="0" fontId="0" fillId="12" borderId="15" xfId="0" applyFont="1" applyFill="1" applyBorder="1" applyAlignment="1" applyProtection="1">
      <alignment horizontal="left" vertical="center" wrapText="1"/>
    </xf>
    <xf numFmtId="0" fontId="37" fillId="12" borderId="15" xfId="0" applyFont="1" applyFill="1" applyBorder="1" applyAlignment="1" applyProtection="1">
      <alignment horizontal="left" vertical="center" wrapText="1"/>
    </xf>
    <xf numFmtId="0" fontId="0" fillId="12" borderId="35" xfId="0" applyFill="1" applyBorder="1" applyAlignment="1" applyProtection="1">
      <alignment horizontal="left" vertical="center" wrapText="1"/>
    </xf>
    <xf numFmtId="0" fontId="37" fillId="12" borderId="35" xfId="0" applyFont="1" applyFill="1" applyBorder="1" applyAlignment="1" applyProtection="1">
      <alignment horizontal="left" vertical="center" wrapText="1"/>
    </xf>
    <xf numFmtId="0" fontId="0" fillId="12" borderId="10" xfId="0" applyFill="1" applyBorder="1" applyAlignment="1" applyProtection="1">
      <alignment horizontal="left" vertical="center" wrapText="1"/>
    </xf>
    <xf numFmtId="0" fontId="37" fillId="12" borderId="18" xfId="0" applyFont="1" applyFill="1" applyBorder="1" applyAlignment="1" applyProtection="1">
      <alignment horizontal="left" vertical="center" wrapText="1"/>
    </xf>
    <xf numFmtId="0" fontId="13" fillId="25" borderId="0" xfId="0" applyFont="1" applyFill="1" applyProtection="1">
      <protection hidden="1"/>
    </xf>
    <xf numFmtId="0" fontId="12" fillId="26" borderId="1" xfId="0" applyFont="1" applyFill="1" applyBorder="1" applyProtection="1">
      <protection hidden="1"/>
    </xf>
    <xf numFmtId="0" fontId="12" fillId="26" borderId="2" xfId="0" applyFont="1" applyFill="1" applyBorder="1" applyAlignment="1" applyProtection="1">
      <alignment horizontal="center"/>
      <protection hidden="1"/>
    </xf>
    <xf numFmtId="0" fontId="13" fillId="26" borderId="2" xfId="0" applyFont="1" applyFill="1" applyBorder="1" applyProtection="1">
      <protection hidden="1"/>
    </xf>
    <xf numFmtId="0" fontId="0" fillId="27" borderId="0" xfId="0" applyFill="1" applyProtection="1">
      <protection hidden="1"/>
    </xf>
    <xf numFmtId="0" fontId="0" fillId="23" borderId="0" xfId="0" applyFill="1" applyProtection="1">
      <protection hidden="1"/>
    </xf>
    <xf numFmtId="0" fontId="17" fillId="0" borderId="28" xfId="0" applyFont="1" applyBorder="1" applyAlignment="1">
      <alignment horizontal="center" vertical="center"/>
    </xf>
    <xf numFmtId="0" fontId="17" fillId="0" borderId="23" xfId="0" applyFont="1" applyBorder="1" applyAlignment="1">
      <alignment horizontal="center"/>
    </xf>
    <xf numFmtId="0" fontId="17" fillId="0" borderId="29" xfId="0" applyFont="1" applyBorder="1"/>
    <xf numFmtId="0" fontId="0" fillId="0" borderId="4" xfId="0" applyBorder="1" applyAlignment="1">
      <alignment horizontal="center"/>
    </xf>
    <xf numFmtId="0" fontId="0" fillId="0" borderId="5" xfId="0" applyBorder="1"/>
    <xf numFmtId="0" fontId="0" fillId="0" borderId="6" xfId="0" applyBorder="1" applyAlignment="1">
      <alignment horizontal="center"/>
    </xf>
    <xf numFmtId="0" fontId="0" fillId="0" borderId="7" xfId="0" applyBorder="1"/>
    <xf numFmtId="0" fontId="0" fillId="0" borderId="8" xfId="0" applyBorder="1"/>
    <xf numFmtId="0" fontId="17" fillId="0" borderId="0" xfId="0" applyFont="1" applyAlignment="1" applyProtection="1">
      <alignment horizontal="center" vertical="center" wrapText="1"/>
      <protection hidden="1"/>
    </xf>
    <xf numFmtId="0" fontId="0" fillId="28" borderId="0" xfId="0" applyFill="1"/>
    <xf numFmtId="0" fontId="0" fillId="0" borderId="10" xfId="0" applyFill="1" applyBorder="1" applyAlignment="1" applyProtection="1">
      <alignment horizontal="center" vertical="center" wrapText="1"/>
      <protection hidden="1"/>
    </xf>
    <xf numFmtId="0" fontId="0" fillId="0" borderId="15" xfId="0"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27" borderId="0" xfId="0" applyFill="1" applyAlignment="1" applyProtection="1">
      <alignment wrapText="1"/>
      <protection hidden="1"/>
    </xf>
    <xf numFmtId="0" fontId="0" fillId="29" borderId="40" xfId="0" applyFill="1" applyBorder="1"/>
    <xf numFmtId="0" fontId="0" fillId="29" borderId="0" xfId="0" applyFill="1"/>
    <xf numFmtId="0" fontId="0" fillId="29" borderId="35" xfId="0" applyFill="1" applyBorder="1"/>
    <xf numFmtId="0" fontId="0" fillId="30" borderId="40" xfId="0" applyFill="1" applyBorder="1"/>
    <xf numFmtId="0" fontId="0" fillId="30" borderId="0" xfId="0" applyFill="1"/>
    <xf numFmtId="0" fontId="0" fillId="11" borderId="0" xfId="0" applyFont="1" applyFill="1" applyAlignment="1" applyProtection="1">
      <alignment horizontal="center"/>
    </xf>
    <xf numFmtId="0" fontId="0" fillId="11" borderId="0" xfId="0" applyFont="1" applyFill="1" applyProtection="1"/>
    <xf numFmtId="0" fontId="0" fillId="11" borderId="0" xfId="0" applyFont="1" applyFill="1" applyBorder="1" applyAlignment="1" applyProtection="1">
      <alignment horizontal="left"/>
    </xf>
    <xf numFmtId="0" fontId="0" fillId="11" borderId="0" xfId="0" applyFont="1" applyFill="1" applyBorder="1" applyAlignment="1" applyProtection="1">
      <alignment horizontal="left" vertical="center"/>
    </xf>
    <xf numFmtId="0" fontId="0" fillId="11" borderId="0" xfId="0" applyNumberFormat="1" applyFont="1" applyFill="1" applyBorder="1" applyAlignment="1" applyProtection="1">
      <alignment horizontal="left"/>
    </xf>
    <xf numFmtId="0" fontId="0" fillId="11" borderId="0" xfId="0" applyNumberFormat="1" applyFont="1" applyFill="1" applyBorder="1" applyAlignment="1" applyProtection="1">
      <alignment horizontal="left" vertical="center"/>
    </xf>
    <xf numFmtId="2" fontId="0" fillId="11" borderId="0" xfId="0" applyNumberFormat="1" applyFont="1" applyFill="1" applyProtection="1"/>
    <xf numFmtId="0" fontId="0" fillId="0" borderId="0" xfId="0" applyFont="1" applyFill="1" applyProtection="1"/>
    <xf numFmtId="0" fontId="0" fillId="12" borderId="39" xfId="0" applyFill="1" applyBorder="1" applyAlignment="1" applyProtection="1">
      <alignment horizontal="justify" vertical="center" wrapText="1"/>
      <protection hidden="1"/>
    </xf>
    <xf numFmtId="0" fontId="0" fillId="12" borderId="16" xfId="0" applyFill="1" applyBorder="1" applyAlignment="1" applyProtection="1">
      <alignment horizontal="justify" vertical="center" wrapText="1"/>
      <protection hidden="1"/>
    </xf>
    <xf numFmtId="0" fontId="0" fillId="12" borderId="19" xfId="0" applyFill="1" applyBorder="1" applyAlignment="1" applyProtection="1">
      <alignment horizontal="justify" vertical="center" wrapText="1"/>
      <protection hidden="1"/>
    </xf>
    <xf numFmtId="0" fontId="0" fillId="12" borderId="16" xfId="0" applyFill="1" applyBorder="1" applyAlignment="1" applyProtection="1">
      <alignment horizontal="center" vertical="center" wrapText="1"/>
      <protection hidden="1"/>
    </xf>
    <xf numFmtId="0" fontId="0" fillId="12" borderId="19" xfId="0" applyFill="1" applyBorder="1" applyAlignment="1" applyProtection="1">
      <alignment horizontal="center" vertical="center" wrapText="1"/>
      <protection hidden="1"/>
    </xf>
    <xf numFmtId="0" fontId="0" fillId="31" borderId="16" xfId="0" applyFill="1" applyBorder="1" applyAlignment="1" applyProtection="1">
      <alignment horizontal="center" vertical="center"/>
      <protection hidden="1"/>
    </xf>
    <xf numFmtId="0" fontId="0" fillId="12" borderId="18" xfId="0" applyFill="1" applyBorder="1" applyAlignment="1" applyProtection="1">
      <alignment horizontal="left" vertical="top" wrapText="1"/>
      <protection hidden="1"/>
    </xf>
    <xf numFmtId="9" fontId="37" fillId="12" borderId="15" xfId="2" applyFont="1" applyFill="1" applyBorder="1" applyAlignment="1">
      <alignment horizontal="center" vertical="center" wrapText="1"/>
    </xf>
    <xf numFmtId="3" fontId="0" fillId="12" borderId="11" xfId="0" applyNumberFormat="1" applyFill="1" applyBorder="1" applyAlignment="1" applyProtection="1">
      <alignment horizontal="center" vertical="center"/>
      <protection hidden="1"/>
    </xf>
    <xf numFmtId="0" fontId="37" fillId="12" borderId="16" xfId="0" applyFont="1" applyFill="1" applyBorder="1" applyAlignment="1" applyProtection="1">
      <alignment horizontal="left" vertical="center" wrapText="1"/>
      <protection hidden="1"/>
    </xf>
    <xf numFmtId="0" fontId="0" fillId="12" borderId="16" xfId="0" applyFill="1" applyBorder="1" applyAlignment="1" applyProtection="1">
      <alignment horizontal="left" vertical="center" wrapText="1"/>
      <protection hidden="1"/>
    </xf>
    <xf numFmtId="0" fontId="37" fillId="12" borderId="11" xfId="0" applyFont="1" applyFill="1" applyBorder="1" applyAlignment="1" applyProtection="1">
      <alignment horizontal="center" vertical="center"/>
      <protection hidden="1"/>
    </xf>
    <xf numFmtId="0" fontId="30" fillId="12" borderId="16" xfId="0" applyFont="1" applyFill="1" applyBorder="1" applyAlignment="1" applyProtection="1">
      <alignment horizontal="center" vertical="center"/>
      <protection hidden="1"/>
    </xf>
    <xf numFmtId="0" fontId="0" fillId="23" borderId="39" xfId="0" applyFill="1" applyBorder="1" applyAlignment="1" applyProtection="1">
      <alignment horizontal="center" vertical="center"/>
      <protection hidden="1"/>
    </xf>
    <xf numFmtId="0" fontId="29" fillId="23" borderId="21" xfId="0" applyFont="1" applyFill="1" applyBorder="1" applyAlignment="1" applyProtection="1">
      <alignment horizontal="justify" vertical="top" wrapText="1"/>
      <protection hidden="1"/>
    </xf>
    <xf numFmtId="0" fontId="29" fillId="23" borderId="15" xfId="0" applyFont="1" applyFill="1" applyBorder="1" applyAlignment="1" applyProtection="1">
      <alignment horizontal="justify" vertical="center"/>
    </xf>
    <xf numFmtId="0" fontId="0" fillId="23" borderId="11" xfId="0" applyFill="1" applyBorder="1" applyAlignment="1" applyProtection="1">
      <alignment horizontal="center" vertical="center"/>
      <protection hidden="1"/>
    </xf>
    <xf numFmtId="0" fontId="0" fillId="23" borderId="16" xfId="0" applyFill="1" applyBorder="1" applyAlignment="1" applyProtection="1">
      <alignment horizontal="center" vertical="center"/>
      <protection hidden="1"/>
    </xf>
    <xf numFmtId="0" fontId="29" fillId="23" borderId="15" xfId="0" applyFont="1" applyFill="1" applyBorder="1" applyAlignment="1" applyProtection="1">
      <alignment horizontal="justify" vertical="center" wrapText="1"/>
      <protection hidden="1"/>
    </xf>
    <xf numFmtId="0" fontId="0" fillId="12" borderId="15" xfId="0" applyFill="1" applyBorder="1" applyAlignment="1" applyProtection="1">
      <alignment horizontal="justify" vertical="center" wrapText="1"/>
      <protection hidden="1"/>
    </xf>
    <xf numFmtId="0" fontId="0" fillId="12" borderId="18" xfId="0" applyFill="1" applyBorder="1" applyAlignment="1" applyProtection="1">
      <alignment horizontal="justify" vertical="center" wrapText="1"/>
      <protection hidden="1"/>
    </xf>
    <xf numFmtId="0" fontId="3" fillId="0" borderId="0" xfId="3" applyFont="1" applyAlignment="1" applyProtection="1">
      <alignment horizontal="center" vertical="center"/>
      <protection hidden="1"/>
    </xf>
    <xf numFmtId="0" fontId="3" fillId="0" borderId="6" xfId="3" applyFont="1" applyBorder="1" applyAlignment="1" applyProtection="1">
      <alignment horizontal="center" vertical="center"/>
      <protection hidden="1"/>
    </xf>
    <xf numFmtId="0" fontId="3" fillId="0" borderId="7" xfId="3" applyFont="1" applyBorder="1" applyAlignment="1" applyProtection="1">
      <alignment horizontal="center" vertical="center"/>
      <protection hidden="1"/>
    </xf>
    <xf numFmtId="0" fontId="0" fillId="0" borderId="0" xfId="0" applyAlignment="1">
      <alignment horizontal="center"/>
    </xf>
    <xf numFmtId="0" fontId="7" fillId="7" borderId="17" xfId="3" applyFont="1" applyFill="1" applyBorder="1" applyAlignment="1" applyProtection="1">
      <alignment horizontal="center" vertical="center" wrapText="1"/>
      <protection hidden="1"/>
    </xf>
    <xf numFmtId="0" fontId="7" fillId="7" borderId="15" xfId="3" applyFont="1" applyFill="1" applyBorder="1" applyAlignment="1" applyProtection="1">
      <alignment horizontal="center" vertical="center" wrapText="1"/>
      <protection hidden="1"/>
    </xf>
    <xf numFmtId="0" fontId="3" fillId="0" borderId="16" xfId="3" applyFont="1" applyBorder="1" applyAlignment="1" applyProtection="1">
      <alignment horizontal="center" vertical="center" wrapText="1"/>
      <protection hidden="1"/>
    </xf>
    <xf numFmtId="0" fontId="7" fillId="7" borderId="20" xfId="3" applyFont="1" applyFill="1" applyBorder="1" applyAlignment="1" applyProtection="1">
      <alignment horizontal="center" vertical="center" wrapText="1"/>
      <protection hidden="1"/>
    </xf>
    <xf numFmtId="0" fontId="7" fillId="7" borderId="18" xfId="3" applyFont="1" applyFill="1" applyBorder="1" applyAlignment="1" applyProtection="1">
      <alignment horizontal="center" vertical="center" wrapText="1"/>
      <protection hidden="1"/>
    </xf>
    <xf numFmtId="0" fontId="3" fillId="0" borderId="0" xfId="3" applyFont="1" applyAlignment="1" applyProtection="1">
      <alignment horizontal="center"/>
      <protection hidden="1"/>
    </xf>
    <xf numFmtId="0" fontId="3" fillId="0" borderId="16" xfId="3" applyFont="1" applyBorder="1" applyAlignment="1" applyProtection="1">
      <alignment horizontal="center"/>
      <protection hidden="1"/>
    </xf>
    <xf numFmtId="0" fontId="17" fillId="0" borderId="20"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17" fillId="0" borderId="25" xfId="0" applyFont="1" applyBorder="1" applyAlignment="1" applyProtection="1">
      <alignment horizontal="center" vertical="center" wrapText="1"/>
      <protection hidden="1"/>
    </xf>
    <xf numFmtId="0" fontId="17" fillId="0" borderId="10" xfId="0" applyFont="1" applyBorder="1" applyAlignment="1" applyProtection="1">
      <alignment horizontal="center" vertical="center" wrapText="1"/>
      <protection hidden="1"/>
    </xf>
    <xf numFmtId="0" fontId="12" fillId="7" borderId="36" xfId="0" applyFont="1" applyFill="1" applyBorder="1" applyAlignment="1" applyProtection="1">
      <alignment horizontal="center" vertical="center" wrapText="1"/>
      <protection hidden="1"/>
    </xf>
    <xf numFmtId="0" fontId="17" fillId="0" borderId="41" xfId="0" applyFont="1" applyBorder="1" applyAlignment="1" applyProtection="1">
      <alignment horizontal="center" vertical="center" wrapText="1"/>
      <protection hidden="1"/>
    </xf>
    <xf numFmtId="0" fontId="12" fillId="7" borderId="10" xfId="0" applyFont="1" applyFill="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17" fillId="0" borderId="54" xfId="0" applyFont="1" applyBorder="1" applyAlignment="1" applyProtection="1">
      <alignment horizontal="center" vertical="center" wrapText="1"/>
      <protection hidden="1"/>
    </xf>
    <xf numFmtId="0" fontId="17" fillId="0" borderId="46" xfId="0" applyFont="1" applyBorder="1" applyAlignment="1" applyProtection="1">
      <alignment horizontal="center" vertical="center" wrapText="1"/>
      <protection hidden="1"/>
    </xf>
    <xf numFmtId="0" fontId="17" fillId="0" borderId="36" xfId="0" applyFont="1" applyBorder="1" applyAlignment="1" applyProtection="1">
      <alignment horizontal="center" vertical="center" wrapText="1"/>
      <protection hidden="1"/>
    </xf>
    <xf numFmtId="0" fontId="17" fillId="0" borderId="40" xfId="0" applyFont="1" applyBorder="1" applyAlignment="1" applyProtection="1">
      <alignment horizontal="center" vertical="center" wrapText="1"/>
      <protection hidden="1"/>
    </xf>
    <xf numFmtId="0" fontId="13" fillId="26" borderId="7" xfId="0" applyFont="1" applyFill="1" applyBorder="1" applyAlignment="1" applyProtection="1">
      <alignment horizontal="center"/>
      <protection hidden="1"/>
    </xf>
    <xf numFmtId="0" fontId="0" fillId="31" borderId="0" xfId="0" applyFont="1" applyFill="1" applyAlignment="1">
      <alignment horizontal="center"/>
    </xf>
    <xf numFmtId="0" fontId="0" fillId="31" borderId="0" xfId="0" applyFont="1" applyFill="1" applyProtection="1">
      <protection hidden="1"/>
    </xf>
    <xf numFmtId="0" fontId="0" fillId="31" borderId="0" xfId="0" applyFont="1" applyFill="1"/>
    <xf numFmtId="0" fontId="0" fillId="31" borderId="0" xfId="0" applyFont="1" applyFill="1" applyBorder="1" applyAlignment="1">
      <alignment horizontal="left"/>
    </xf>
    <xf numFmtId="9" fontId="0" fillId="31" borderId="0" xfId="0" applyNumberFormat="1" applyFont="1" applyFill="1" applyBorder="1" applyAlignment="1" applyProtection="1">
      <alignment horizontal="left" vertical="center" wrapText="1"/>
      <protection locked="0"/>
    </xf>
    <xf numFmtId="0" fontId="0" fillId="31" borderId="0" xfId="0" applyNumberFormat="1" applyFont="1" applyFill="1" applyBorder="1" applyAlignment="1">
      <alignment horizontal="left"/>
    </xf>
    <xf numFmtId="0" fontId="0" fillId="31" borderId="0" xfId="2" applyNumberFormat="1" applyFont="1" applyFill="1" applyBorder="1" applyAlignment="1">
      <alignment horizontal="left" vertical="center"/>
    </xf>
    <xf numFmtId="0" fontId="0" fillId="31" borderId="0" xfId="0" applyFont="1" applyFill="1" applyAlignment="1" applyProtection="1">
      <alignment horizontal="left" vertical="top"/>
      <protection hidden="1"/>
    </xf>
    <xf numFmtId="2" fontId="0" fillId="31" borderId="0" xfId="0" applyNumberFormat="1" applyFont="1" applyFill="1"/>
    <xf numFmtId="0" fontId="3" fillId="0" borderId="1" xfId="3" applyFont="1" applyBorder="1" applyAlignment="1" applyProtection="1">
      <alignment horizontal="center" vertical="center"/>
      <protection hidden="1"/>
    </xf>
    <xf numFmtId="0" fontId="3" fillId="0" borderId="2" xfId="3" applyFont="1" applyBorder="1" applyAlignment="1" applyProtection="1">
      <alignment horizontal="center" vertical="center"/>
      <protection hidden="1"/>
    </xf>
    <xf numFmtId="0" fontId="3" fillId="0" borderId="4" xfId="3" applyFont="1" applyBorder="1" applyAlignment="1" applyProtection="1">
      <alignment horizontal="center" vertical="center"/>
      <protection hidden="1"/>
    </xf>
    <xf numFmtId="0" fontId="3" fillId="0" borderId="0" xfId="3" applyFont="1" applyAlignment="1" applyProtection="1">
      <alignment horizontal="center" vertical="center"/>
      <protection hidden="1"/>
    </xf>
    <xf numFmtId="0" fontId="3" fillId="0" borderId="6" xfId="3" applyFont="1" applyBorder="1" applyAlignment="1" applyProtection="1">
      <alignment horizontal="center" vertical="center"/>
      <protection hidden="1"/>
    </xf>
    <xf numFmtId="0" fontId="3" fillId="0" borderId="7" xfId="3" applyFont="1" applyBorder="1" applyAlignment="1" applyProtection="1">
      <alignment horizontal="center" vertical="center"/>
      <protection hidden="1"/>
    </xf>
    <xf numFmtId="0" fontId="5" fillId="6" borderId="1" xfId="4" applyFont="1" applyFill="1" applyBorder="1" applyAlignment="1" applyProtection="1">
      <alignment horizontal="center" vertical="center" wrapText="1"/>
      <protection hidden="1"/>
    </xf>
    <xf numFmtId="0" fontId="5" fillId="6" borderId="2" xfId="4" applyFont="1" applyFill="1" applyBorder="1" applyAlignment="1" applyProtection="1">
      <alignment horizontal="center" vertical="center"/>
      <protection hidden="1"/>
    </xf>
    <xf numFmtId="0" fontId="5" fillId="6" borderId="3" xfId="4" applyFont="1" applyFill="1" applyBorder="1" applyAlignment="1" applyProtection="1">
      <alignment horizontal="center" vertical="center"/>
      <protection hidden="1"/>
    </xf>
    <xf numFmtId="0" fontId="5" fillId="6" borderId="4" xfId="4" applyFont="1" applyFill="1" applyBorder="1" applyAlignment="1" applyProtection="1">
      <alignment horizontal="center" vertical="center"/>
      <protection hidden="1"/>
    </xf>
    <xf numFmtId="0" fontId="5" fillId="6" borderId="0" xfId="4" applyFont="1" applyFill="1" applyAlignment="1" applyProtection="1">
      <alignment horizontal="center" vertical="center"/>
      <protection hidden="1"/>
    </xf>
    <xf numFmtId="0" fontId="5" fillId="6" borderId="5" xfId="4" applyFont="1" applyFill="1" applyBorder="1" applyAlignment="1" applyProtection="1">
      <alignment horizontal="center" vertical="center"/>
      <protection hidden="1"/>
    </xf>
    <xf numFmtId="0" fontId="5" fillId="6" borderId="6" xfId="4" applyFont="1" applyFill="1" applyBorder="1" applyAlignment="1" applyProtection="1">
      <alignment horizontal="center" vertical="center"/>
      <protection hidden="1"/>
    </xf>
    <xf numFmtId="0" fontId="5" fillId="6" borderId="7" xfId="4" applyFont="1" applyFill="1" applyBorder="1" applyAlignment="1" applyProtection="1">
      <alignment horizontal="center" vertical="center"/>
      <protection hidden="1"/>
    </xf>
    <xf numFmtId="0" fontId="5" fillId="6" borderId="8" xfId="4" applyFont="1" applyFill="1" applyBorder="1" applyAlignment="1" applyProtection="1">
      <alignment horizontal="center" vertical="center"/>
      <protection hidden="1"/>
    </xf>
    <xf numFmtId="0" fontId="0" fillId="0" borderId="0" xfId="0" applyAlignment="1">
      <alignment horizontal="center"/>
    </xf>
    <xf numFmtId="0" fontId="7" fillId="7" borderId="17" xfId="3" applyFont="1" applyFill="1" applyBorder="1" applyAlignment="1" applyProtection="1">
      <alignment horizontal="center" vertical="center" wrapText="1"/>
      <protection hidden="1"/>
    </xf>
    <xf numFmtId="0" fontId="7" fillId="7" borderId="15" xfId="3" applyFont="1" applyFill="1" applyBorder="1" applyAlignment="1" applyProtection="1">
      <alignment horizontal="center" vertical="center" wrapText="1"/>
      <protection hidden="1"/>
    </xf>
    <xf numFmtId="0" fontId="7" fillId="7" borderId="20" xfId="3" applyFont="1" applyFill="1" applyBorder="1" applyAlignment="1" applyProtection="1">
      <alignment horizontal="center" vertical="center" wrapText="1"/>
      <protection hidden="1"/>
    </xf>
    <xf numFmtId="0" fontId="7" fillId="7" borderId="18" xfId="3" applyFont="1" applyFill="1" applyBorder="1" applyAlignment="1" applyProtection="1">
      <alignment horizontal="center" vertical="center" wrapText="1"/>
      <protection hidden="1"/>
    </xf>
    <xf numFmtId="0" fontId="3" fillId="0" borderId="17" xfId="3" applyFont="1" applyBorder="1" applyAlignment="1" applyProtection="1">
      <alignment horizontal="center"/>
      <protection hidden="1"/>
    </xf>
    <xf numFmtId="0" fontId="3" fillId="0" borderId="15" xfId="3" applyFont="1" applyBorder="1" applyAlignment="1" applyProtection="1">
      <alignment horizontal="center"/>
      <protection hidden="1"/>
    </xf>
    <xf numFmtId="0" fontId="3" fillId="0" borderId="16" xfId="3" applyFont="1" applyBorder="1" applyAlignment="1" applyProtection="1">
      <alignment horizontal="center"/>
      <protection hidden="1"/>
    </xf>
    <xf numFmtId="0" fontId="3" fillId="0" borderId="21" xfId="3" applyFont="1" applyBorder="1" applyAlignment="1" applyProtection="1">
      <alignment horizontal="center" vertical="center" wrapText="1"/>
      <protection hidden="1"/>
    </xf>
    <xf numFmtId="0" fontId="3" fillId="0" borderId="13" xfId="3" applyFont="1" applyBorder="1" applyAlignment="1" applyProtection="1">
      <alignment horizontal="center" vertical="center" wrapText="1"/>
      <protection hidden="1"/>
    </xf>
    <xf numFmtId="0" fontId="3" fillId="0" borderId="14" xfId="3" applyFont="1" applyBorder="1" applyAlignment="1" applyProtection="1">
      <alignment horizontal="center" vertical="center" wrapText="1"/>
      <protection hidden="1"/>
    </xf>
    <xf numFmtId="0" fontId="3" fillId="0" borderId="15" xfId="3" applyFont="1" applyBorder="1" applyAlignment="1" applyProtection="1">
      <alignment horizontal="center" vertical="center" wrapText="1"/>
      <protection hidden="1"/>
    </xf>
    <xf numFmtId="0" fontId="3" fillId="0" borderId="16" xfId="3" applyFont="1" applyBorder="1" applyAlignment="1" applyProtection="1">
      <alignment horizontal="center" vertical="center" wrapText="1"/>
      <protection hidden="1"/>
    </xf>
    <xf numFmtId="0" fontId="3" fillId="0" borderId="18" xfId="3" applyFont="1" applyBorder="1" applyAlignment="1" applyProtection="1">
      <alignment horizontal="left" vertical="center" wrapText="1"/>
      <protection hidden="1"/>
    </xf>
    <xf numFmtId="10" fontId="3" fillId="0" borderId="18" xfId="3" applyNumberFormat="1" applyFont="1" applyBorder="1" applyAlignment="1" applyProtection="1">
      <alignment horizontal="center" vertical="center" wrapText="1"/>
      <protection hidden="1"/>
    </xf>
    <xf numFmtId="0" fontId="3" fillId="0" borderId="18" xfId="3" applyFont="1" applyBorder="1" applyAlignment="1" applyProtection="1">
      <alignment horizontal="center" vertical="center" wrapText="1"/>
      <protection hidden="1"/>
    </xf>
    <xf numFmtId="0" fontId="3" fillId="0" borderId="0" xfId="3" applyFont="1" applyAlignment="1" applyProtection="1">
      <alignment horizontal="center"/>
      <protection hidden="1"/>
    </xf>
    <xf numFmtId="0" fontId="6" fillId="6" borderId="9" xfId="3" applyFont="1" applyFill="1" applyBorder="1" applyAlignment="1" applyProtection="1">
      <alignment horizontal="center"/>
      <protection hidden="1"/>
    </xf>
    <xf numFmtId="0" fontId="6" fillId="6" borderId="10" xfId="3" applyFont="1" applyFill="1" applyBorder="1" applyAlignment="1" applyProtection="1">
      <alignment horizontal="center"/>
      <protection hidden="1"/>
    </xf>
    <xf numFmtId="0" fontId="6" fillId="6" borderId="11" xfId="3" applyFont="1" applyFill="1" applyBorder="1" applyAlignment="1" applyProtection="1">
      <alignment horizontal="center"/>
      <protection hidden="1"/>
    </xf>
    <xf numFmtId="0" fontId="7" fillId="7" borderId="4" xfId="3" applyFont="1" applyFill="1" applyBorder="1" applyAlignment="1" applyProtection="1">
      <alignment horizontal="center" vertical="center"/>
      <protection hidden="1"/>
    </xf>
    <xf numFmtId="0" fontId="7" fillId="7" borderId="0" xfId="3" applyFont="1" applyFill="1" applyBorder="1" applyAlignment="1" applyProtection="1">
      <alignment horizontal="center" vertical="center"/>
      <protection hidden="1"/>
    </xf>
    <xf numFmtId="0" fontId="8" fillId="0" borderId="18" xfId="3" applyFont="1" applyBorder="1" applyAlignment="1" applyProtection="1">
      <alignment horizontal="center" vertical="center" wrapText="1"/>
      <protection hidden="1"/>
    </xf>
    <xf numFmtId="0" fontId="7" fillId="7" borderId="12" xfId="3" applyFont="1" applyFill="1" applyBorder="1" applyAlignment="1" applyProtection="1">
      <alignment horizontal="center" vertical="center" wrapText="1"/>
      <protection hidden="1"/>
    </xf>
    <xf numFmtId="0" fontId="7" fillId="7" borderId="14" xfId="3" applyFont="1" applyFill="1" applyBorder="1" applyAlignment="1" applyProtection="1">
      <alignment horizontal="center" vertical="center" wrapText="1"/>
      <protection hidden="1"/>
    </xf>
    <xf numFmtId="0" fontId="14" fillId="0" borderId="15" xfId="3" applyFont="1" applyBorder="1" applyAlignment="1" applyProtection="1">
      <alignment horizontal="center" vertical="center" wrapText="1"/>
      <protection hidden="1"/>
    </xf>
    <xf numFmtId="0" fontId="14" fillId="0" borderId="16" xfId="3" applyFont="1" applyBorder="1" applyAlignment="1" applyProtection="1">
      <alignment horizontal="center" vertical="center" wrapText="1"/>
      <protection hidden="1"/>
    </xf>
    <xf numFmtId="0" fontId="14" fillId="0" borderId="18" xfId="3" applyFont="1" applyBorder="1" applyAlignment="1" applyProtection="1">
      <alignment horizontal="center" vertical="center" wrapText="1"/>
      <protection hidden="1"/>
    </xf>
    <xf numFmtId="0" fontId="14" fillId="0" borderId="19" xfId="3" applyFont="1" applyBorder="1" applyAlignment="1" applyProtection="1">
      <alignment horizontal="center" vertical="center" wrapText="1"/>
      <protection hidden="1"/>
    </xf>
    <xf numFmtId="0" fontId="3" fillId="0" borderId="22" xfId="3" applyFont="1" applyBorder="1" applyAlignment="1" applyProtection="1">
      <alignment horizontal="center" vertical="center" wrapText="1"/>
      <protection hidden="1"/>
    </xf>
    <xf numFmtId="0" fontId="10" fillId="7" borderId="20" xfId="3" applyFont="1" applyFill="1" applyBorder="1" applyAlignment="1" applyProtection="1">
      <alignment horizontal="center" vertical="center" wrapText="1"/>
      <protection hidden="1"/>
    </xf>
    <xf numFmtId="0" fontId="10" fillId="7" borderId="18" xfId="3" applyFont="1" applyFill="1" applyBorder="1" applyAlignment="1" applyProtection="1">
      <alignment horizontal="center" vertical="center" wrapText="1"/>
      <protection hidden="1"/>
    </xf>
    <xf numFmtId="0" fontId="9" fillId="5" borderId="18" xfId="3" applyFont="1" applyFill="1" applyBorder="1" applyAlignment="1" applyProtection="1">
      <alignment horizontal="center" vertical="center" wrapText="1"/>
      <protection locked="0"/>
    </xf>
    <xf numFmtId="0" fontId="3" fillId="0" borderId="19" xfId="3" applyFont="1" applyBorder="1" applyAlignment="1" applyProtection="1">
      <alignment horizontal="center" vertical="center" wrapText="1"/>
      <protection hidden="1"/>
    </xf>
    <xf numFmtId="0" fontId="8" fillId="0" borderId="15" xfId="3" applyFont="1" applyBorder="1" applyAlignment="1" applyProtection="1">
      <alignment horizontal="center" vertical="center" wrapText="1"/>
      <protection hidden="1"/>
    </xf>
    <xf numFmtId="0" fontId="8" fillId="0" borderId="16" xfId="3" applyFont="1" applyBorder="1" applyAlignment="1" applyProtection="1">
      <alignment horizontal="center" vertical="center" wrapText="1"/>
      <protection hidden="1"/>
    </xf>
    <xf numFmtId="0" fontId="8" fillId="0" borderId="19" xfId="3" applyFont="1" applyBorder="1" applyAlignment="1" applyProtection="1">
      <alignment horizontal="center" vertical="center" wrapText="1"/>
      <protection hidden="1"/>
    </xf>
    <xf numFmtId="0" fontId="0" fillId="0" borderId="0" xfId="0" applyFont="1" applyAlignment="1" applyProtection="1">
      <alignment horizontal="right"/>
      <protection hidden="1"/>
    </xf>
    <xf numFmtId="22" fontId="0" fillId="0" borderId="0" xfId="0" applyNumberFormat="1" applyFont="1" applyAlignment="1" applyProtection="1">
      <alignment horizontal="center"/>
      <protection hidden="1"/>
    </xf>
    <xf numFmtId="0" fontId="3" fillId="0" borderId="12" xfId="3" applyFont="1" applyBorder="1" applyAlignment="1" applyProtection="1">
      <alignment horizontal="center"/>
      <protection hidden="1"/>
    </xf>
    <xf numFmtId="0" fontId="3" fillId="0" borderId="13" xfId="3" applyFont="1" applyBorder="1" applyAlignment="1" applyProtection="1">
      <alignment horizontal="center"/>
      <protection hidden="1"/>
    </xf>
    <xf numFmtId="0" fontId="3" fillId="0" borderId="14" xfId="3" applyFont="1" applyBorder="1" applyAlignment="1" applyProtection="1">
      <alignment horizontal="center"/>
      <protection hidden="1"/>
    </xf>
    <xf numFmtId="0" fontId="9" fillId="0" borderId="15" xfId="3" applyFont="1" applyBorder="1" applyAlignment="1" applyProtection="1">
      <alignment horizontal="center" vertical="center" wrapText="1"/>
      <protection hidden="1"/>
    </xf>
    <xf numFmtId="0" fontId="9" fillId="5" borderId="19" xfId="3" applyFont="1" applyFill="1" applyBorder="1" applyAlignment="1" applyProtection="1">
      <alignment horizontal="center" vertical="center" wrapText="1"/>
      <protection locked="0"/>
    </xf>
    <xf numFmtId="0" fontId="6" fillId="6" borderId="37" xfId="3" applyFont="1" applyFill="1" applyBorder="1" applyAlignment="1" applyProtection="1">
      <alignment horizontal="center"/>
      <protection hidden="1"/>
    </xf>
    <xf numFmtId="0" fontId="6" fillId="6" borderId="36" xfId="3" applyFont="1" applyFill="1" applyBorder="1" applyAlignment="1" applyProtection="1">
      <alignment horizontal="center"/>
      <protection hidden="1"/>
    </xf>
    <xf numFmtId="0" fontId="6" fillId="6" borderId="38" xfId="3" applyFont="1" applyFill="1" applyBorder="1" applyAlignment="1" applyProtection="1">
      <alignment horizontal="center"/>
      <protection hidden="1"/>
    </xf>
    <xf numFmtId="0" fontId="7" fillId="7" borderId="30" xfId="3" applyFont="1" applyFill="1" applyBorder="1" applyAlignment="1" applyProtection="1">
      <alignment horizontal="center" vertical="center"/>
      <protection hidden="1"/>
    </xf>
    <xf numFmtId="0" fontId="7" fillId="7" borderId="31" xfId="3" applyFont="1" applyFill="1" applyBorder="1" applyAlignment="1" applyProtection="1">
      <alignment horizontal="center" vertical="center"/>
      <protection hidden="1"/>
    </xf>
    <xf numFmtId="0" fontId="7" fillId="7" borderId="9" xfId="3" applyFont="1" applyFill="1" applyBorder="1" applyAlignment="1" applyProtection="1">
      <alignment horizontal="center" vertical="center" wrapText="1"/>
      <protection hidden="1"/>
    </xf>
    <xf numFmtId="0" fontId="7" fillId="7" borderId="10" xfId="3" applyFont="1" applyFill="1" applyBorder="1" applyAlignment="1" applyProtection="1">
      <alignment horizontal="center" vertical="center" wrapText="1"/>
      <protection hidden="1"/>
    </xf>
    <xf numFmtId="0" fontId="7" fillId="7" borderId="24" xfId="3" applyFont="1" applyFill="1" applyBorder="1" applyAlignment="1" applyProtection="1">
      <alignment horizontal="center" vertical="center" wrapText="1"/>
      <protection hidden="1"/>
    </xf>
    <xf numFmtId="0" fontId="7" fillId="7" borderId="25" xfId="3" applyFont="1" applyFill="1" applyBorder="1" applyAlignment="1" applyProtection="1">
      <alignment horizontal="center" vertical="center" wrapText="1"/>
      <protection hidden="1"/>
    </xf>
    <xf numFmtId="0" fontId="3" fillId="0" borderId="15" xfId="3" applyFont="1" applyBorder="1" applyAlignment="1" applyProtection="1">
      <alignment horizontal="left" vertical="center" wrapText="1"/>
      <protection hidden="1"/>
    </xf>
    <xf numFmtId="10" fontId="3" fillId="0" borderId="15" xfId="3" applyNumberFormat="1" applyFont="1" applyBorder="1" applyAlignment="1" applyProtection="1">
      <alignment horizontal="center" vertical="center" wrapText="1"/>
      <protection hidden="1"/>
    </xf>
    <xf numFmtId="0" fontId="21" fillId="7" borderId="28" xfId="3" applyFont="1" applyFill="1" applyBorder="1" applyAlignment="1" applyProtection="1">
      <alignment horizontal="center" vertical="center"/>
      <protection hidden="1"/>
    </xf>
    <xf numFmtId="0" fontId="21" fillId="7" borderId="23" xfId="3" applyFont="1" applyFill="1" applyBorder="1" applyAlignment="1" applyProtection="1">
      <alignment horizontal="center" vertical="center"/>
      <protection hidden="1"/>
    </xf>
    <xf numFmtId="0" fontId="21" fillId="7" borderId="29" xfId="3" applyFont="1" applyFill="1" applyBorder="1" applyAlignment="1" applyProtection="1">
      <alignment horizontal="center" vertical="center"/>
      <protection hidden="1"/>
    </xf>
    <xf numFmtId="0" fontId="6" fillId="11" borderId="1" xfId="3" applyFont="1" applyFill="1" applyBorder="1" applyAlignment="1" applyProtection="1">
      <alignment horizontal="center" vertical="center"/>
      <protection hidden="1"/>
    </xf>
    <xf numFmtId="0" fontId="6" fillId="11" borderId="2" xfId="3" applyFont="1" applyFill="1" applyBorder="1" applyAlignment="1" applyProtection="1">
      <alignment horizontal="center" vertical="center"/>
      <protection hidden="1"/>
    </xf>
    <xf numFmtId="0" fontId="6" fillId="11" borderId="3" xfId="3" applyFont="1" applyFill="1" applyBorder="1" applyAlignment="1" applyProtection="1">
      <alignment horizontal="center" vertical="center"/>
      <protection hidden="1"/>
    </xf>
    <xf numFmtId="0" fontId="27" fillId="7" borderId="42" xfId="3" applyFont="1" applyFill="1" applyBorder="1" applyAlignment="1" applyProtection="1">
      <alignment horizontal="center" vertical="center" wrapText="1"/>
      <protection hidden="1"/>
    </xf>
    <xf numFmtId="0" fontId="27" fillId="7" borderId="25" xfId="3" applyFont="1" applyFill="1" applyBorder="1" applyAlignment="1" applyProtection="1">
      <alignment horizontal="center" vertical="center" wrapText="1"/>
      <protection hidden="1"/>
    </xf>
    <xf numFmtId="0" fontId="27" fillId="7" borderId="39" xfId="3" applyFont="1" applyFill="1" applyBorder="1" applyAlignment="1" applyProtection="1">
      <alignment horizontal="center" vertical="center" wrapText="1"/>
      <protection hidden="1"/>
    </xf>
    <xf numFmtId="0" fontId="6" fillId="11" borderId="28" xfId="3" applyFont="1" applyFill="1" applyBorder="1" applyAlignment="1" applyProtection="1">
      <alignment horizontal="center" vertical="center"/>
      <protection hidden="1"/>
    </xf>
    <xf numFmtId="0" fontId="6" fillId="11" borderId="23" xfId="3" applyFont="1" applyFill="1" applyBorder="1" applyAlignment="1" applyProtection="1">
      <alignment horizontal="center" vertical="center"/>
      <protection hidden="1"/>
    </xf>
    <xf numFmtId="0" fontId="6" fillId="11" borderId="29" xfId="3" applyFont="1" applyFill="1" applyBorder="1" applyAlignment="1" applyProtection="1">
      <alignment horizontal="center" vertical="center"/>
      <protection hidden="1"/>
    </xf>
    <xf numFmtId="0" fontId="27" fillId="7" borderId="21" xfId="3" applyFont="1" applyFill="1" applyBorder="1" applyAlignment="1" applyProtection="1">
      <alignment horizontal="center" vertical="center" wrapText="1"/>
      <protection hidden="1"/>
    </xf>
    <xf numFmtId="0" fontId="27" fillId="7" borderId="13" xfId="3" applyFont="1" applyFill="1" applyBorder="1" applyAlignment="1" applyProtection="1">
      <alignment horizontal="center" vertical="center" wrapText="1"/>
      <protection hidden="1"/>
    </xf>
    <xf numFmtId="0" fontId="27" fillId="7" borderId="14" xfId="3" applyFont="1" applyFill="1" applyBorder="1" applyAlignment="1" applyProtection="1">
      <alignment horizontal="center" vertical="center" wrapText="1"/>
      <protection hidden="1"/>
    </xf>
    <xf numFmtId="0" fontId="3" fillId="0" borderId="21" xfId="3" applyFont="1" applyBorder="1" applyAlignment="1" applyProtection="1">
      <alignment horizontal="left" vertical="center" wrapText="1"/>
      <protection hidden="1"/>
    </xf>
    <xf numFmtId="0" fontId="3" fillId="0" borderId="13" xfId="3" applyFont="1" applyBorder="1" applyAlignment="1" applyProtection="1">
      <alignment horizontal="left" vertical="center" wrapText="1"/>
      <protection hidden="1"/>
    </xf>
    <xf numFmtId="0" fontId="3" fillId="0" borderId="14" xfId="3" applyFont="1" applyBorder="1" applyAlignment="1" applyProtection="1">
      <alignment horizontal="left" vertical="center" wrapText="1"/>
      <protection hidden="1"/>
    </xf>
    <xf numFmtId="0" fontId="24" fillId="0" borderId="46" xfId="0" applyFont="1" applyBorder="1" applyAlignment="1" applyProtection="1">
      <alignment horizontal="center" vertical="center"/>
      <protection hidden="1"/>
    </xf>
    <xf numFmtId="0" fontId="24" fillId="0" borderId="44" xfId="0" applyFont="1" applyBorder="1" applyAlignment="1" applyProtection="1">
      <alignment horizontal="center" vertical="center" wrapText="1"/>
      <protection hidden="1"/>
    </xf>
    <xf numFmtId="0" fontId="24" fillId="0" borderId="45" xfId="0" applyFont="1" applyBorder="1" applyAlignment="1" applyProtection="1">
      <alignment horizontal="center" vertical="center" wrapText="1"/>
      <protection hidden="1"/>
    </xf>
    <xf numFmtId="0" fontId="23" fillId="0" borderId="0" xfId="3" applyFont="1" applyAlignment="1" applyProtection="1">
      <alignment horizontal="center" vertical="center"/>
      <protection hidden="1"/>
    </xf>
    <xf numFmtId="0" fontId="28" fillId="11" borderId="1" xfId="3" applyFont="1" applyFill="1" applyBorder="1" applyAlignment="1" applyProtection="1">
      <alignment horizontal="center" vertical="center"/>
      <protection hidden="1"/>
    </xf>
    <xf numFmtId="0" fontId="28" fillId="11" borderId="2" xfId="3" applyFont="1" applyFill="1" applyBorder="1" applyAlignment="1" applyProtection="1">
      <alignment horizontal="center" vertical="center"/>
      <protection hidden="1"/>
    </xf>
    <xf numFmtId="0" fontId="28" fillId="11" borderId="47" xfId="3" applyFont="1" applyFill="1" applyBorder="1" applyAlignment="1" applyProtection="1">
      <alignment horizontal="center" vertical="center"/>
      <protection hidden="1"/>
    </xf>
    <xf numFmtId="0" fontId="24" fillId="0" borderId="21" xfId="0" applyFont="1" applyBorder="1" applyAlignment="1" applyProtection="1">
      <alignment horizontal="center" vertical="center" wrapText="1"/>
      <protection hidden="1"/>
    </xf>
    <xf numFmtId="0" fontId="24" fillId="0" borderId="14" xfId="0" applyFont="1" applyBorder="1" applyAlignment="1" applyProtection="1">
      <alignment horizontal="center" vertical="center" wrapText="1"/>
      <protection hidden="1"/>
    </xf>
    <xf numFmtId="0" fontId="13" fillId="7" borderId="25" xfId="0" applyFont="1" applyFill="1" applyBorder="1" applyAlignment="1" applyProtection="1">
      <alignment horizontal="center"/>
      <protection hidden="1"/>
    </xf>
    <xf numFmtId="0" fontId="13" fillId="7" borderId="39" xfId="0" applyFont="1" applyFill="1" applyBorder="1" applyAlignment="1" applyProtection="1">
      <alignment horizontal="center"/>
      <protection hidden="1"/>
    </xf>
    <xf numFmtId="0" fontId="3" fillId="19" borderId="12" xfId="3" applyFont="1" applyFill="1" applyBorder="1" applyAlignment="1" applyProtection="1">
      <alignment horizontal="center" vertical="center" wrapText="1"/>
      <protection hidden="1"/>
    </xf>
    <xf numFmtId="0" fontId="3" fillId="19" borderId="13" xfId="3" applyFont="1" applyFill="1" applyBorder="1" applyAlignment="1" applyProtection="1">
      <alignment horizontal="center" vertical="center" wrapText="1"/>
      <protection hidden="1"/>
    </xf>
    <xf numFmtId="0" fontId="3" fillId="19" borderId="14" xfId="3" applyFont="1" applyFill="1" applyBorder="1" applyAlignment="1" applyProtection="1">
      <alignment horizontal="center" vertical="center" wrapText="1"/>
      <protection hidden="1"/>
    </xf>
    <xf numFmtId="0" fontId="7" fillId="11" borderId="48" xfId="3" applyFont="1" applyFill="1" applyBorder="1" applyAlignment="1" applyProtection="1">
      <alignment horizontal="center" vertical="center" wrapText="1"/>
      <protection hidden="1"/>
    </xf>
    <xf numFmtId="0" fontId="7" fillId="11" borderId="49" xfId="3" applyFont="1" applyFill="1" applyBorder="1" applyAlignment="1" applyProtection="1">
      <alignment horizontal="center" vertical="center" wrapText="1"/>
      <protection hidden="1"/>
    </xf>
    <xf numFmtId="0" fontId="7" fillId="11" borderId="42" xfId="3" applyFont="1" applyFill="1" applyBorder="1" applyAlignment="1" applyProtection="1">
      <alignment horizontal="center" vertical="center" wrapText="1"/>
      <protection hidden="1"/>
    </xf>
    <xf numFmtId="0" fontId="7" fillId="7" borderId="48" xfId="3" applyFont="1" applyFill="1" applyBorder="1" applyAlignment="1" applyProtection="1">
      <alignment horizontal="center" vertical="center" wrapText="1"/>
      <protection hidden="1"/>
    </xf>
    <xf numFmtId="0" fontId="7" fillId="7" borderId="49" xfId="3" applyFont="1" applyFill="1" applyBorder="1" applyAlignment="1" applyProtection="1">
      <alignment horizontal="center" vertical="center" wrapText="1"/>
      <protection hidden="1"/>
    </xf>
    <xf numFmtId="0" fontId="7" fillId="7" borderId="42" xfId="3" applyFont="1" applyFill="1" applyBorder="1" applyAlignment="1" applyProtection="1">
      <alignment horizontal="center" vertical="center" wrapText="1"/>
      <protection hidden="1"/>
    </xf>
    <xf numFmtId="0" fontId="17" fillId="0" borderId="24"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0" fontId="17" fillId="0" borderId="25"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18" fillId="13" borderId="28" xfId="0" applyFont="1" applyFill="1" applyBorder="1" applyAlignment="1" applyProtection="1">
      <alignment horizontal="left"/>
      <protection hidden="1"/>
    </xf>
    <xf numFmtId="0" fontId="18" fillId="13" borderId="29" xfId="0" applyFont="1" applyFill="1" applyBorder="1" applyAlignment="1" applyProtection="1">
      <alignment horizontal="left"/>
      <protection hidden="1"/>
    </xf>
    <xf numFmtId="0" fontId="12" fillId="13" borderId="33" xfId="0" applyFont="1" applyFill="1" applyBorder="1" applyAlignment="1" applyProtection="1">
      <alignment horizontal="left"/>
      <protection hidden="1"/>
    </xf>
    <xf numFmtId="0" fontId="12" fillId="13" borderId="34" xfId="0" applyFont="1" applyFill="1" applyBorder="1" applyAlignment="1" applyProtection="1">
      <alignment horizontal="left"/>
      <protection hidden="1"/>
    </xf>
    <xf numFmtId="0" fontId="12" fillId="7" borderId="36" xfId="0" applyFont="1" applyFill="1" applyBorder="1" applyAlignment="1" applyProtection="1">
      <alignment horizontal="center" vertical="center" wrapText="1"/>
      <protection hidden="1"/>
    </xf>
    <xf numFmtId="0" fontId="17" fillId="0" borderId="10" xfId="0" applyFont="1" applyBorder="1" applyAlignment="1" applyProtection="1">
      <alignment horizontal="center" vertical="center" wrapText="1"/>
      <protection hidden="1"/>
    </xf>
    <xf numFmtId="0" fontId="12" fillId="13" borderId="4" xfId="0" applyFont="1" applyFill="1" applyBorder="1" applyAlignment="1" applyProtection="1">
      <alignment horizontal="center"/>
      <protection hidden="1"/>
    </xf>
    <xf numFmtId="0" fontId="12" fillId="13" borderId="0" xfId="0" applyFont="1" applyFill="1" applyBorder="1" applyAlignment="1" applyProtection="1">
      <alignment horizontal="center"/>
      <protection hidden="1"/>
    </xf>
    <xf numFmtId="0" fontId="17" fillId="0" borderId="9" xfId="0" applyFont="1" applyBorder="1" applyAlignment="1" applyProtection="1">
      <alignment horizontal="center" vertical="center" wrapText="1"/>
      <protection hidden="1"/>
    </xf>
    <xf numFmtId="0" fontId="18" fillId="7" borderId="28" xfId="0" applyFont="1" applyFill="1" applyBorder="1" applyAlignment="1" applyProtection="1">
      <alignment horizontal="left"/>
      <protection hidden="1"/>
    </xf>
    <xf numFmtId="0" fontId="18" fillId="7" borderId="29" xfId="0" applyFont="1" applyFill="1" applyBorder="1" applyAlignment="1" applyProtection="1">
      <alignment horizontal="left"/>
      <protection hidden="1"/>
    </xf>
    <xf numFmtId="0" fontId="19" fillId="11" borderId="9" xfId="0" applyFont="1" applyFill="1" applyBorder="1" applyAlignment="1" applyProtection="1">
      <alignment horizontal="center"/>
      <protection hidden="1"/>
    </xf>
    <xf numFmtId="0" fontId="19" fillId="11" borderId="10" xfId="0" applyFont="1" applyFill="1" applyBorder="1" applyAlignment="1" applyProtection="1">
      <alignment horizontal="center"/>
      <protection hidden="1"/>
    </xf>
    <xf numFmtId="0" fontId="19" fillId="11" borderId="11" xfId="0" applyFont="1" applyFill="1" applyBorder="1" applyAlignment="1" applyProtection="1">
      <alignment horizontal="center"/>
      <protection hidden="1"/>
    </xf>
    <xf numFmtId="0" fontId="38" fillId="0" borderId="12" xfId="0" applyFont="1" applyFill="1" applyBorder="1" applyAlignment="1" applyProtection="1">
      <alignment horizontal="center"/>
      <protection hidden="1"/>
    </xf>
    <xf numFmtId="0" fontId="38" fillId="0" borderId="13" xfId="0" applyFont="1" applyFill="1" applyBorder="1" applyAlignment="1" applyProtection="1">
      <alignment horizontal="center"/>
      <protection hidden="1"/>
    </xf>
    <xf numFmtId="0" fontId="38" fillId="0" borderId="22" xfId="0" applyFont="1" applyFill="1" applyBorder="1" applyAlignment="1" applyProtection="1">
      <alignment horizontal="center"/>
      <protection hidden="1"/>
    </xf>
    <xf numFmtId="0" fontId="12" fillId="7" borderId="1" xfId="0" applyFont="1" applyFill="1" applyBorder="1" applyAlignment="1" applyProtection="1">
      <alignment horizontal="center"/>
      <protection hidden="1"/>
    </xf>
    <xf numFmtId="0" fontId="12" fillId="7" borderId="2" xfId="0" applyFont="1" applyFill="1" applyBorder="1" applyAlignment="1" applyProtection="1">
      <alignment horizontal="center"/>
      <protection hidden="1"/>
    </xf>
    <xf numFmtId="0" fontId="12" fillId="7" borderId="3" xfId="0" applyFont="1" applyFill="1" applyBorder="1" applyAlignment="1" applyProtection="1">
      <alignment horizontal="center"/>
      <protection hidden="1"/>
    </xf>
    <xf numFmtId="0" fontId="12" fillId="7" borderId="33" xfId="0" applyFont="1" applyFill="1" applyBorder="1" applyAlignment="1" applyProtection="1">
      <alignment horizontal="left"/>
      <protection hidden="1"/>
    </xf>
    <xf numFmtId="0" fontId="12" fillId="7" borderId="34" xfId="0" applyFont="1" applyFill="1" applyBorder="1" applyAlignment="1" applyProtection="1">
      <alignment horizontal="left"/>
      <protection hidden="1"/>
    </xf>
    <xf numFmtId="0" fontId="12" fillId="7" borderId="4" xfId="0" applyFont="1" applyFill="1" applyBorder="1" applyAlignment="1" applyProtection="1">
      <alignment horizontal="center"/>
      <protection hidden="1"/>
    </xf>
    <xf numFmtId="0" fontId="12" fillId="7" borderId="0" xfId="0" applyFont="1" applyFill="1" applyBorder="1" applyAlignment="1" applyProtection="1">
      <alignment horizontal="center"/>
      <protection hidden="1"/>
    </xf>
    <xf numFmtId="0" fontId="17" fillId="0" borderId="42"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0" fontId="17" fillId="0" borderId="52" xfId="0" applyFont="1" applyBorder="1" applyAlignment="1" applyProtection="1">
      <alignment horizontal="center" vertical="center" wrapText="1"/>
      <protection hidden="1"/>
    </xf>
    <xf numFmtId="0" fontId="18" fillId="13" borderId="23" xfId="0" applyFont="1" applyFill="1" applyBorder="1" applyAlignment="1" applyProtection="1">
      <alignment horizontal="left"/>
      <protection hidden="1"/>
    </xf>
    <xf numFmtId="0" fontId="17" fillId="0" borderId="41" xfId="0" applyFont="1" applyBorder="1" applyAlignment="1" applyProtection="1">
      <alignment horizontal="center" vertical="center" wrapText="1"/>
      <protection hidden="1"/>
    </xf>
    <xf numFmtId="0" fontId="12" fillId="7" borderId="30" xfId="0" applyFont="1" applyFill="1" applyBorder="1" applyAlignment="1" applyProtection="1">
      <alignment horizontal="center"/>
      <protection hidden="1"/>
    </xf>
    <xf numFmtId="0" fontId="12" fillId="7" borderId="31" xfId="0" applyFont="1" applyFill="1" applyBorder="1" applyAlignment="1" applyProtection="1">
      <alignment horizontal="center"/>
      <protection hidden="1"/>
    </xf>
    <xf numFmtId="0" fontId="12" fillId="7" borderId="32" xfId="0" applyFont="1" applyFill="1" applyBorder="1" applyAlignment="1" applyProtection="1">
      <alignment horizontal="center"/>
      <protection hidden="1"/>
    </xf>
    <xf numFmtId="0" fontId="12" fillId="7" borderId="6" xfId="0" applyFont="1" applyFill="1" applyBorder="1" applyAlignment="1" applyProtection="1">
      <alignment horizontal="center"/>
      <protection hidden="1"/>
    </xf>
    <xf numFmtId="0" fontId="12" fillId="7" borderId="7" xfId="0" applyFont="1" applyFill="1" applyBorder="1" applyAlignment="1" applyProtection="1">
      <alignment horizontal="center"/>
      <protection hidden="1"/>
    </xf>
    <xf numFmtId="0" fontId="18" fillId="7" borderId="23" xfId="0" applyFont="1" applyFill="1" applyBorder="1" applyAlignment="1" applyProtection="1">
      <alignment horizontal="left"/>
      <protection hidden="1"/>
    </xf>
    <xf numFmtId="0" fontId="19" fillId="11" borderId="58" xfId="0" applyFont="1" applyFill="1" applyBorder="1" applyAlignment="1" applyProtection="1">
      <alignment horizontal="center"/>
      <protection hidden="1"/>
    </xf>
    <xf numFmtId="0" fontId="17" fillId="0" borderId="58" xfId="0" applyFont="1" applyBorder="1" applyAlignment="1" applyProtection="1">
      <alignment horizontal="center" vertical="center" wrapText="1"/>
      <protection hidden="1"/>
    </xf>
    <xf numFmtId="0" fontId="12" fillId="13" borderId="56" xfId="0" applyFont="1" applyFill="1" applyBorder="1" applyAlignment="1" applyProtection="1">
      <alignment horizontal="left"/>
      <protection hidden="1"/>
    </xf>
    <xf numFmtId="0" fontId="12" fillId="7" borderId="26" xfId="0" applyFont="1" applyFill="1" applyBorder="1" applyAlignment="1" applyProtection="1">
      <alignment horizontal="left"/>
      <protection hidden="1"/>
    </xf>
    <xf numFmtId="0" fontId="12" fillId="7" borderId="51" xfId="0" applyFont="1" applyFill="1" applyBorder="1" applyAlignment="1" applyProtection="1">
      <alignment horizontal="left"/>
      <protection hidden="1"/>
    </xf>
    <xf numFmtId="0" fontId="12" fillId="7" borderId="27" xfId="0" applyFont="1" applyFill="1" applyBorder="1" applyAlignment="1" applyProtection="1">
      <alignment horizontal="left"/>
      <protection hidden="1"/>
    </xf>
    <xf numFmtId="0" fontId="17" fillId="0" borderId="67" xfId="0" applyFont="1" applyBorder="1" applyAlignment="1" applyProtection="1">
      <alignment horizontal="center" vertical="center" wrapText="1"/>
      <protection hidden="1"/>
    </xf>
    <xf numFmtId="0" fontId="17" fillId="0" borderId="68" xfId="0" applyFont="1" applyBorder="1" applyAlignment="1" applyProtection="1">
      <alignment horizontal="center" vertical="center" wrapText="1"/>
      <protection hidden="1"/>
    </xf>
    <xf numFmtId="0" fontId="17" fillId="0" borderId="55" xfId="0" applyFont="1" applyBorder="1" applyAlignment="1" applyProtection="1">
      <alignment horizontal="center" vertical="center" wrapText="1"/>
      <protection hidden="1"/>
    </xf>
    <xf numFmtId="0" fontId="17" fillId="0" borderId="21" xfId="0" applyFont="1" applyBorder="1" applyAlignment="1" applyProtection="1">
      <alignment horizontal="center" vertical="center" wrapText="1"/>
      <protection hidden="1"/>
    </xf>
    <xf numFmtId="0" fontId="17" fillId="0" borderId="50" xfId="0" applyFont="1" applyBorder="1" applyAlignment="1" applyProtection="1">
      <alignment horizontal="center" vertical="center" wrapText="1"/>
      <protection hidden="1"/>
    </xf>
    <xf numFmtId="0" fontId="17" fillId="0" borderId="63" xfId="0" applyFont="1" applyBorder="1" applyAlignment="1" applyProtection="1">
      <alignment horizontal="center" vertical="center" wrapText="1"/>
      <protection hidden="1"/>
    </xf>
    <xf numFmtId="0" fontId="17" fillId="0" borderId="65" xfId="0" applyFont="1" applyBorder="1" applyAlignment="1" applyProtection="1">
      <alignment horizontal="center" vertical="center" wrapText="1"/>
      <protection hidden="1"/>
    </xf>
    <xf numFmtId="0" fontId="12" fillId="13" borderId="30" xfId="0" applyFont="1" applyFill="1" applyBorder="1" applyAlignment="1" applyProtection="1">
      <alignment horizontal="center"/>
      <protection hidden="1"/>
    </xf>
    <xf numFmtId="0" fontId="12" fillId="13" borderId="31" xfId="0" applyFont="1" applyFill="1" applyBorder="1" applyAlignment="1" applyProtection="1">
      <alignment horizontal="center"/>
      <protection hidden="1"/>
    </xf>
    <xf numFmtId="0" fontId="12" fillId="13" borderId="32" xfId="0" applyFont="1" applyFill="1" applyBorder="1" applyAlignment="1" applyProtection="1">
      <alignment horizontal="center"/>
      <protection hidden="1"/>
    </xf>
    <xf numFmtId="0" fontId="17" fillId="0" borderId="35" xfId="0" applyFont="1" applyBorder="1" applyAlignment="1" applyProtection="1">
      <alignment horizontal="center" vertical="center" wrapText="1"/>
      <protection hidden="1"/>
    </xf>
    <xf numFmtId="0" fontId="12" fillId="7" borderId="10" xfId="0" applyFont="1" applyFill="1" applyBorder="1" applyAlignment="1" applyProtection="1">
      <alignment horizontal="center" vertical="center" wrapText="1"/>
      <protection hidden="1"/>
    </xf>
    <xf numFmtId="0" fontId="17" fillId="0" borderId="61" xfId="0" applyFont="1" applyBorder="1" applyAlignment="1" applyProtection="1">
      <alignment horizontal="center" vertical="center" wrapText="1"/>
      <protection hidden="1"/>
    </xf>
    <xf numFmtId="0" fontId="17" fillId="0" borderId="62" xfId="0" applyFont="1" applyBorder="1" applyAlignment="1" applyProtection="1">
      <alignment horizontal="center" vertical="center" wrapText="1"/>
      <protection hidden="1"/>
    </xf>
    <xf numFmtId="0" fontId="17" fillId="0" borderId="60" xfId="0" applyFont="1" applyBorder="1" applyAlignment="1" applyProtection="1">
      <alignment horizontal="center" vertical="center" wrapText="1"/>
      <protection hidden="1"/>
    </xf>
    <xf numFmtId="0" fontId="17" fillId="0" borderId="37" xfId="0" applyFont="1" applyBorder="1" applyAlignment="1" applyProtection="1">
      <alignment horizontal="center" vertical="center" wrapText="1"/>
      <protection hidden="1"/>
    </xf>
    <xf numFmtId="0" fontId="17" fillId="0" borderId="54" xfId="0"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36" xfId="0" applyFont="1" applyBorder="1" applyAlignment="1" applyProtection="1">
      <alignment horizontal="center" vertical="center" wrapText="1"/>
      <protection hidden="1"/>
    </xf>
    <xf numFmtId="0" fontId="17" fillId="0" borderId="4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17" fillId="0" borderId="46" xfId="0" applyFont="1" applyBorder="1" applyAlignment="1" applyProtection="1">
      <alignment horizontal="center" vertical="center" wrapText="1"/>
      <protection hidden="1"/>
    </xf>
    <xf numFmtId="0" fontId="19" fillId="11" borderId="28" xfId="0" applyFont="1" applyFill="1" applyBorder="1" applyAlignment="1" applyProtection="1">
      <alignment horizontal="center"/>
      <protection hidden="1"/>
    </xf>
    <xf numFmtId="0" fontId="19" fillId="11" borderId="23" xfId="0" applyFont="1" applyFill="1" applyBorder="1" applyAlignment="1" applyProtection="1">
      <alignment horizontal="center"/>
      <protection hidden="1"/>
    </xf>
    <xf numFmtId="0" fontId="13" fillId="26" borderId="0" xfId="0" applyFont="1" applyFill="1" applyAlignment="1" applyProtection="1">
      <alignment horizontal="center"/>
      <protection hidden="1"/>
    </xf>
    <xf numFmtId="0" fontId="13" fillId="26" borderId="7" xfId="0" applyFont="1" applyFill="1" applyBorder="1" applyAlignment="1" applyProtection="1">
      <alignment horizontal="center"/>
      <protection hidden="1"/>
    </xf>
    <xf numFmtId="0" fontId="17" fillId="0" borderId="21" xfId="0" applyFont="1" applyBorder="1" applyAlignment="1" applyProtection="1">
      <alignment horizontal="center"/>
      <protection hidden="1"/>
    </xf>
    <xf numFmtId="0" fontId="17" fillId="0" borderId="13" xfId="0" applyFont="1" applyBorder="1" applyAlignment="1" applyProtection="1">
      <alignment horizontal="center"/>
      <protection hidden="1"/>
    </xf>
    <xf numFmtId="0" fontId="17" fillId="0" borderId="14" xfId="0" applyFont="1" applyBorder="1" applyAlignment="1" applyProtection="1">
      <alignment horizontal="center"/>
      <protection hidden="1"/>
    </xf>
    <xf numFmtId="0" fontId="44" fillId="8" borderId="0" xfId="0" applyFont="1" applyFill="1" applyAlignment="1">
      <alignment horizontal="center" vertical="center"/>
    </xf>
    <xf numFmtId="0" fontId="0" fillId="0" borderId="1" xfId="0" applyBorder="1"/>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0" fillId="0" borderId="4" xfId="0" applyBorder="1"/>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45" fillId="0" borderId="5" xfId="0" applyFont="1" applyBorder="1" applyAlignment="1">
      <alignment horizontal="center" vertical="center" wrapText="1"/>
    </xf>
    <xf numFmtId="0" fontId="0" fillId="0" borderId="6" xfId="0" applyBorder="1"/>
    <xf numFmtId="0" fontId="45" fillId="0" borderId="6"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0" fillId="31" borderId="0" xfId="0" applyFill="1" applyAlignment="1">
      <alignment horizontal="center"/>
    </xf>
    <xf numFmtId="0" fontId="0" fillId="31" borderId="0" xfId="0" applyFill="1"/>
  </cellXfs>
  <cellStyles count="15">
    <cellStyle name="Millares" xfId="1" builtinId="3"/>
    <cellStyle name="Millares [0]" xfId="5" builtinId="6"/>
    <cellStyle name="Millares [0] 2" xfId="12" xr:uid="{00000000-0005-0000-0000-000002000000}"/>
    <cellStyle name="Millares 2" xfId="9" xr:uid="{00000000-0005-0000-0000-000003000000}"/>
    <cellStyle name="Millares 3" xfId="10" xr:uid="{00000000-0005-0000-0000-000004000000}"/>
    <cellStyle name="Millares 4" xfId="11" xr:uid="{00000000-0005-0000-0000-000005000000}"/>
    <cellStyle name="Moneda [0]" xfId="6" builtinId="7"/>
    <cellStyle name="Moneda [0] 2" xfId="8" xr:uid="{00000000-0005-0000-0000-000007000000}"/>
    <cellStyle name="Moneda [0] 2 2" xfId="14" xr:uid="{00000000-0005-0000-0000-000008000000}"/>
    <cellStyle name="Moneda [0] 3" xfId="13" xr:uid="{00000000-0005-0000-0000-000009000000}"/>
    <cellStyle name="Normal" xfId="0" builtinId="0"/>
    <cellStyle name="Normal 2" xfId="4" xr:uid="{00000000-0005-0000-0000-00000B000000}"/>
    <cellStyle name="Normal 3" xfId="3" xr:uid="{00000000-0005-0000-0000-00000C000000}"/>
    <cellStyle name="Porcentaje" xfId="2" builtinId="5"/>
    <cellStyle name="Porcentaje 2" xfId="7" xr:uid="{00000000-0005-0000-0000-00000E000000}"/>
  </cellStyles>
  <dxfs count="48">
    <dxf>
      <numFmt numFmtId="166" formatCode="dd/mm/yyyy"/>
    </dxf>
    <dxf>
      <numFmt numFmtId="0" formatCode="General"/>
    </dxf>
    <dxf>
      <numFmt numFmtId="166" formatCode="dd/mm/yyyy"/>
    </dxf>
    <dxf>
      <numFmt numFmtId="166" formatCode="dd/mm/yyyy"/>
    </dxf>
    <dxf>
      <numFmt numFmtId="166" formatCode="dd/mm/yyyy"/>
    </dxf>
    <dxf>
      <border outline="0">
        <top style="thin">
          <color theme="1"/>
        </top>
      </border>
    </dxf>
    <dxf>
      <border outline="0">
        <bottom style="thin">
          <color theme="1"/>
        </bottom>
      </border>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23616"/>
      <color rgb="FFCC0000"/>
      <color rgb="FFFF0101"/>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66158573119401E-2"/>
          <c:y val="0.24209678210990024"/>
          <c:w val="0.92400690846286704"/>
          <c:h val="0.54815935258470838"/>
        </c:manualLayout>
      </c:layout>
      <c:barChart>
        <c:barDir val="col"/>
        <c:grouping val="clustered"/>
        <c:varyColors val="0"/>
        <c:ser>
          <c:idx val="1"/>
          <c:order val="1"/>
          <c:tx>
            <c:v>%Avance</c:v>
          </c:tx>
          <c:spPr>
            <a:solidFill>
              <a:schemeClr val="accent6">
                <a:lumMod val="50000"/>
              </a:schemeClr>
            </a:solidFill>
            <a:ln>
              <a:noFill/>
            </a:ln>
            <a:effectLst/>
          </c:spPr>
          <c:invertIfNegative val="0"/>
          <c:dLbls>
            <c:numFmt formatCode="0.#0;;;" sourceLinked="0"/>
            <c:spPr>
              <a:noFill/>
              <a:ln>
                <a:noFill/>
              </a:ln>
              <a:effectLst/>
            </c:spPr>
            <c:txPr>
              <a:bodyPr rot="0" spcFirstLastPara="1" vertOverflow="ellipsis" vert="horz" wrap="square" lIns="36000" tIns="0" rIns="38100" bIns="288000" anchor="b" anchorCtr="0">
                <a:spAutoFit/>
              </a:bodyPr>
              <a:lstStyle/>
              <a:p>
                <a:pPr>
                  <a:defRPr sz="900" b="1" i="0" u="none" strike="noStrike" kern="1200" baseline="0">
                    <a:solidFill>
                      <a:schemeClr val="accent6">
                        <a:lumMod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Ficha_ID!$B$32:$B$37</c:f>
              <c:strCache>
                <c:ptCount val="6"/>
                <c:pt idx="0">
                  <c:v>Enero</c:v>
                </c:pt>
                <c:pt idx="1">
                  <c:v>Febrero</c:v>
                </c:pt>
                <c:pt idx="2">
                  <c:v>Marzo</c:v>
                </c:pt>
                <c:pt idx="3">
                  <c:v>Abril</c:v>
                </c:pt>
                <c:pt idx="4">
                  <c:v>Mayo</c:v>
                </c:pt>
                <c:pt idx="5">
                  <c:v>Junio</c:v>
                </c:pt>
              </c:strCache>
            </c:strRef>
          </c:cat>
          <c:val>
            <c:numRef>
              <c:f>Ficha_ID!$F$32:$F$37</c:f>
              <c:numCache>
                <c:formatCode>0</c:formatCode>
                <c:ptCount val="6"/>
                <c:pt idx="0">
                  <c:v>0</c:v>
                </c:pt>
                <c:pt idx="1">
                  <c:v>10</c:v>
                </c:pt>
                <c:pt idx="2">
                  <c:v>20</c:v>
                </c:pt>
                <c:pt idx="3">
                  <c:v>40</c:v>
                </c:pt>
                <c:pt idx="4">
                  <c:v>20</c:v>
                </c:pt>
                <c:pt idx="5">
                  <c:v>20</c:v>
                </c:pt>
              </c:numCache>
            </c:numRef>
          </c:val>
          <c:extLst>
            <c:ext xmlns:c16="http://schemas.microsoft.com/office/drawing/2014/chart" uri="{C3380CC4-5D6E-409C-BE32-E72D297353CC}">
              <c16:uniqueId val="{00000000-CD48-4139-AC3A-42055B71FE9F}"/>
            </c:ext>
          </c:extLst>
        </c:ser>
        <c:dLbls>
          <c:showLegendKey val="0"/>
          <c:showVal val="0"/>
          <c:showCatName val="0"/>
          <c:showSerName val="0"/>
          <c:showPercent val="0"/>
          <c:showBubbleSize val="0"/>
        </c:dLbls>
        <c:gapWidth val="204"/>
        <c:axId val="410947768"/>
        <c:axId val="410953648"/>
      </c:barChart>
      <c:scatterChart>
        <c:scatterStyle val="lineMarker"/>
        <c:varyColors val="0"/>
        <c:ser>
          <c:idx val="0"/>
          <c:order val="0"/>
          <c:tx>
            <c:v>%Cumplimiento</c:v>
          </c:tx>
          <c:spPr>
            <a:ln w="19050">
              <a:noFill/>
            </a:ln>
          </c:spPr>
          <c:marker>
            <c:symbol val="dash"/>
            <c:size val="12"/>
            <c:spPr>
              <a:solidFill>
                <a:schemeClr val="accent2">
                  <a:lumMod val="50000"/>
                </a:schemeClr>
              </a:solidFill>
              <a:ln w="9525">
                <a:noFill/>
              </a:ln>
              <a:effectLst/>
            </c:spPr>
          </c:marker>
          <c:dLbls>
            <c:numFmt formatCode="#,##0.0" sourceLinked="0"/>
            <c:spPr>
              <a:noFill/>
              <a:ln>
                <a:noFill/>
              </a:ln>
              <a:effectLst/>
            </c:spPr>
            <c:txPr>
              <a:bodyPr wrap="square" lIns="38100" tIns="19050" rIns="38100" bIns="19050" anchor="ctr">
                <a:spAutoFit/>
              </a:bodyPr>
              <a:lstStyle/>
              <a:p>
                <a:pPr>
                  <a:defRPr sz="900" b="1">
                    <a:solidFill>
                      <a:srgbClr val="C00000"/>
                    </a:solidFill>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Ficha_ID!$B$32:$B$37</c:f>
              <c:strCache>
                <c:ptCount val="6"/>
                <c:pt idx="0">
                  <c:v>Enero</c:v>
                </c:pt>
                <c:pt idx="1">
                  <c:v>Febrero</c:v>
                </c:pt>
                <c:pt idx="2">
                  <c:v>Marzo</c:v>
                </c:pt>
                <c:pt idx="3">
                  <c:v>Abril</c:v>
                </c:pt>
                <c:pt idx="4">
                  <c:v>Mayo</c:v>
                </c:pt>
                <c:pt idx="5">
                  <c:v>Junio</c:v>
                </c:pt>
              </c:strCache>
            </c:strRef>
          </c:xVal>
          <c:yVal>
            <c:numRef>
              <c:f>Ficha_ID!$G$32:$G$37</c:f>
              <c:numCache>
                <c:formatCode>0</c:formatCode>
                <c:ptCount val="6"/>
                <c:pt idx="0">
                  <c:v>0</c:v>
                </c:pt>
                <c:pt idx="1">
                  <c:v>100</c:v>
                </c:pt>
                <c:pt idx="2">
                  <c:v>100</c:v>
                </c:pt>
                <c:pt idx="3">
                  <c:v>116.66666666666666</c:v>
                </c:pt>
                <c:pt idx="4">
                  <c:v>112.5</c:v>
                </c:pt>
                <c:pt idx="5">
                  <c:v>110</c:v>
                </c:pt>
              </c:numCache>
            </c:numRef>
          </c:yVal>
          <c:smooth val="0"/>
          <c:extLst>
            <c:ext xmlns:c16="http://schemas.microsoft.com/office/drawing/2014/chart" uri="{C3380CC4-5D6E-409C-BE32-E72D297353CC}">
              <c16:uniqueId val="{00000001-CD48-4139-AC3A-42055B71FE9F}"/>
            </c:ext>
          </c:extLst>
        </c:ser>
        <c:dLbls>
          <c:showLegendKey val="0"/>
          <c:showVal val="0"/>
          <c:showCatName val="0"/>
          <c:showSerName val="0"/>
          <c:showPercent val="0"/>
          <c:showBubbleSize val="0"/>
        </c:dLbls>
        <c:axId val="410947768"/>
        <c:axId val="410953648"/>
      </c:scatterChart>
      <c:catAx>
        <c:axId val="41094776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CO"/>
          </a:p>
        </c:txPr>
        <c:crossAx val="410953648"/>
        <c:crosses val="autoZero"/>
        <c:auto val="1"/>
        <c:lblAlgn val="ctr"/>
        <c:lblOffset val="100"/>
        <c:noMultiLvlLbl val="0"/>
      </c:catAx>
      <c:valAx>
        <c:axId val="410953648"/>
        <c:scaling>
          <c:orientation val="minMax"/>
        </c:scaling>
        <c:delete val="1"/>
        <c:axPos val="l"/>
        <c:numFmt formatCode="0" sourceLinked="1"/>
        <c:majorTickMark val="none"/>
        <c:minorTickMark val="none"/>
        <c:tickLblPos val="nextTo"/>
        <c:crossAx val="410947768"/>
        <c:crosses val="autoZero"/>
        <c:crossBetween val="between"/>
      </c:valAx>
      <c:spPr>
        <a:noFill/>
        <a:ln>
          <a:noFill/>
        </a:ln>
        <a:effectLst/>
      </c:spPr>
    </c:plotArea>
    <c:legend>
      <c:legendPos val="t"/>
      <c:layout>
        <c:manualLayout>
          <c:xMode val="edge"/>
          <c:yMode val="edge"/>
          <c:x val="2.2864140035329987E-2"/>
          <c:y val="3.0287384350484659E-2"/>
          <c:w val="0.36568758058003981"/>
          <c:h val="0.2492112058314063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O"/>
        </a:p>
      </c:txPr>
    </c:legend>
    <c:plotVisOnly val="0"/>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92800877878478"/>
          <c:y val="7.5916799221187867E-2"/>
          <c:w val="0.67179469509102641"/>
          <c:h val="0.72621044732442686"/>
        </c:manualLayout>
      </c:layout>
      <c:barChart>
        <c:barDir val="col"/>
        <c:grouping val="clustered"/>
        <c:varyColors val="0"/>
        <c:ser>
          <c:idx val="0"/>
          <c:order val="0"/>
          <c:tx>
            <c:v>Cumplimiento</c:v>
          </c:tx>
          <c:spPr>
            <a:noFill/>
            <a:ln w="19050">
              <a:solidFill>
                <a:srgbClr val="C00000"/>
              </a:solidFill>
              <a:prstDash val="sysDash"/>
            </a:ln>
          </c:spPr>
          <c:invertIfNegative val="0"/>
          <c:dLbls>
            <c:dLbl>
              <c:idx val="0"/>
              <c:layout>
                <c:manualLayout>
                  <c:x val="0.29938390563985057"/>
                  <c:y val="-0.10119089009998812"/>
                </c:manualLayout>
              </c:layout>
              <c:numFmt formatCode="#,##0.0" sourceLinked="0"/>
              <c:spPr>
                <a:noFill/>
                <a:ln>
                  <a:noFill/>
                </a:ln>
                <a:effectLst/>
              </c:spPr>
              <c:txPr>
                <a:bodyPr wrap="square" lIns="38100" tIns="19050" rIns="38100" bIns="19050" anchor="ctr">
                  <a:noAutofit/>
                </a:bodyPr>
                <a:lstStyle/>
                <a:p>
                  <a:pPr>
                    <a:defRPr sz="900" b="1">
                      <a:solidFill>
                        <a:srgbClr val="C00000"/>
                      </a:solidFill>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42752021725370665"/>
                      <c:h val="0.18356917897323119"/>
                    </c:manualLayout>
                  </c15:layout>
                </c:ext>
                <c:ext xmlns:c16="http://schemas.microsoft.com/office/drawing/2014/chart" uri="{C3380CC4-5D6E-409C-BE32-E72D297353CC}">
                  <c16:uniqueId val="{00000001-1243-4A20-8B42-AD3E0FEAC02D}"/>
                </c:ext>
              </c:extLst>
            </c:dLbl>
            <c:numFmt formatCode="#,##0.0" sourceLinked="0"/>
            <c:spPr>
              <a:noFill/>
              <a:ln>
                <a:noFill/>
              </a:ln>
              <a:effectLst/>
            </c:spPr>
            <c:txPr>
              <a:bodyPr wrap="square" lIns="38100" tIns="19050" rIns="38100" bIns="19050" anchor="ctr">
                <a:spAutoFit/>
              </a:bodyPr>
              <a:lstStyle/>
              <a:p>
                <a:pPr>
                  <a:defRPr sz="900" b="1">
                    <a:solidFill>
                      <a:srgbClr val="C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Acumulado</c:v>
              </c:pt>
            </c:strLit>
          </c:cat>
          <c:val>
            <c:numRef>
              <c:f>Ficha_ID!$G$38</c:f>
              <c:numCache>
                <c:formatCode>0</c:formatCode>
                <c:ptCount val="1"/>
                <c:pt idx="0">
                  <c:v>110</c:v>
                </c:pt>
              </c:numCache>
            </c:numRef>
          </c:val>
          <c:extLst>
            <c:ext xmlns:c16="http://schemas.microsoft.com/office/drawing/2014/chart" uri="{C3380CC4-5D6E-409C-BE32-E72D297353CC}">
              <c16:uniqueId val="{00000001-8A58-475E-9F71-E6C4CB74D8D1}"/>
            </c:ext>
          </c:extLst>
        </c:ser>
        <c:dLbls>
          <c:showLegendKey val="0"/>
          <c:showVal val="0"/>
          <c:showCatName val="0"/>
          <c:showSerName val="0"/>
          <c:showPercent val="0"/>
          <c:showBubbleSize val="0"/>
        </c:dLbls>
        <c:gapWidth val="69"/>
        <c:overlap val="-27"/>
        <c:axId val="410951688"/>
        <c:axId val="410948160"/>
      </c:barChart>
      <c:barChart>
        <c:barDir val="col"/>
        <c:grouping val="clustered"/>
        <c:varyColors val="0"/>
        <c:ser>
          <c:idx val="1"/>
          <c:order val="1"/>
          <c:tx>
            <c:v>Avance</c:v>
          </c:tx>
          <c:spPr>
            <a:solidFill>
              <a:schemeClr val="accent6">
                <a:lumMod val="50000"/>
              </a:schemeClr>
            </a:solidFill>
          </c:spPr>
          <c:invertIfNegative val="0"/>
          <c:dLbls>
            <c:dLbl>
              <c:idx val="0"/>
              <c:layout>
                <c:manualLayout>
                  <c:x val="-0.2694455150758655"/>
                  <c:y val="-0.14718658461324502"/>
                </c:manualLayout>
              </c:layout>
              <c:numFmt formatCode="#,##0.0" sourceLinked="0"/>
              <c:spPr>
                <a:noFill/>
                <a:ln>
                  <a:noFill/>
                </a:ln>
                <a:effectLst/>
              </c:spPr>
              <c:txPr>
                <a:bodyPr wrap="square" lIns="38100" tIns="19050" rIns="38100" bIns="19050" anchor="ctr">
                  <a:noAutofit/>
                </a:bodyPr>
                <a:lstStyle/>
                <a:p>
                  <a:pPr>
                    <a:defRPr sz="900" b="1">
                      <a:solidFill>
                        <a:schemeClr val="accent6">
                          <a:lumMod val="50000"/>
                        </a:schemeClr>
                      </a:solidFill>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manualLayout>
                      <c:w val="0.39758182668972158"/>
                      <c:h val="0.17450766498329667"/>
                    </c:manualLayout>
                  </c15:layout>
                </c:ext>
                <c:ext xmlns:c16="http://schemas.microsoft.com/office/drawing/2014/chart" uri="{C3380CC4-5D6E-409C-BE32-E72D297353CC}">
                  <c16:uniqueId val="{00000000-1243-4A20-8B42-AD3E0FEAC02D}"/>
                </c:ext>
              </c:extLst>
            </c:dLbl>
            <c:numFmt formatCode="#,##0" sourceLinked="0"/>
            <c:spPr>
              <a:noFill/>
              <a:ln>
                <a:noFill/>
              </a:ln>
              <a:effectLst/>
            </c:spPr>
            <c:txPr>
              <a:bodyPr wrap="square" lIns="38100" tIns="19050" rIns="38100" bIns="19050" anchor="ctr">
                <a:spAutoFit/>
              </a:bodyPr>
              <a:lstStyle/>
              <a:p>
                <a:pPr>
                  <a:defRPr sz="900" b="1">
                    <a:solidFill>
                      <a:schemeClr val="accent6">
                        <a:lumMod val="50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Acumulado</c:v>
              </c:pt>
            </c:strLit>
          </c:cat>
          <c:val>
            <c:numRef>
              <c:f>Ficha_ID!$F$38</c:f>
              <c:numCache>
                <c:formatCode>0</c:formatCode>
                <c:ptCount val="1"/>
                <c:pt idx="0">
                  <c:v>110</c:v>
                </c:pt>
              </c:numCache>
            </c:numRef>
          </c:val>
          <c:extLst>
            <c:ext xmlns:c16="http://schemas.microsoft.com/office/drawing/2014/chart" uri="{C3380CC4-5D6E-409C-BE32-E72D297353CC}">
              <c16:uniqueId val="{00000003-8A58-475E-9F71-E6C4CB74D8D1}"/>
            </c:ext>
          </c:extLst>
        </c:ser>
        <c:ser>
          <c:idx val="2"/>
          <c:order val="2"/>
          <c:tx>
            <c:v>Meta Acumulada</c:v>
          </c:tx>
          <c:invertIfNegative val="0"/>
          <c:cat>
            <c:strLit>
              <c:ptCount val="1"/>
              <c:pt idx="0">
                <c:v>Acumulado</c:v>
              </c:pt>
            </c:strLit>
          </c:cat>
          <c:val>
            <c:numRef>
              <c:f>Ficha_ID!$H$38</c:f>
              <c:numCache>
                <c:formatCode>0.00</c:formatCode>
                <c:ptCount val="1"/>
              </c:numCache>
            </c:numRef>
          </c:val>
          <c:extLst>
            <c:ext xmlns:c16="http://schemas.microsoft.com/office/drawing/2014/chart" uri="{C3380CC4-5D6E-409C-BE32-E72D297353CC}">
              <c16:uniqueId val="{00000005-8A58-475E-9F71-E6C4CB74D8D1}"/>
            </c:ext>
          </c:extLst>
        </c:ser>
        <c:dLbls>
          <c:showLegendKey val="0"/>
          <c:showVal val="0"/>
          <c:showCatName val="0"/>
          <c:showSerName val="0"/>
          <c:showPercent val="0"/>
          <c:showBubbleSize val="0"/>
        </c:dLbls>
        <c:gapWidth val="112"/>
        <c:overlap val="100"/>
        <c:axId val="410952080"/>
        <c:axId val="410949336"/>
      </c:barChart>
      <c:catAx>
        <c:axId val="41095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410948160"/>
        <c:crosses val="autoZero"/>
        <c:auto val="1"/>
        <c:lblAlgn val="ctr"/>
        <c:lblOffset val="100"/>
        <c:noMultiLvlLbl val="0"/>
      </c:catAx>
      <c:valAx>
        <c:axId val="410948160"/>
        <c:scaling>
          <c:orientation val="minMax"/>
        </c:scaling>
        <c:delete val="1"/>
        <c:axPos val="l"/>
        <c:numFmt formatCode="0" sourceLinked="1"/>
        <c:majorTickMark val="out"/>
        <c:minorTickMark val="none"/>
        <c:tickLblPos val="nextTo"/>
        <c:crossAx val="410951688"/>
        <c:crosses val="autoZero"/>
        <c:crossBetween val="between"/>
      </c:valAx>
      <c:valAx>
        <c:axId val="410949336"/>
        <c:scaling>
          <c:orientation val="minMax"/>
        </c:scaling>
        <c:delete val="1"/>
        <c:axPos val="r"/>
        <c:numFmt formatCode="0" sourceLinked="1"/>
        <c:majorTickMark val="out"/>
        <c:minorTickMark val="none"/>
        <c:tickLblPos val="nextTo"/>
        <c:crossAx val="410952080"/>
        <c:crosses val="max"/>
        <c:crossBetween val="between"/>
      </c:valAx>
      <c:catAx>
        <c:axId val="410952080"/>
        <c:scaling>
          <c:orientation val="minMax"/>
        </c:scaling>
        <c:delete val="1"/>
        <c:axPos val="b"/>
        <c:numFmt formatCode="General" sourceLinked="1"/>
        <c:majorTickMark val="out"/>
        <c:minorTickMark val="none"/>
        <c:tickLblPos val="nextTo"/>
        <c:crossAx val="410949336"/>
        <c:crosses val="autoZero"/>
        <c:auto val="1"/>
        <c:lblAlgn val="ctr"/>
        <c:lblOffset val="100"/>
        <c:noMultiLvlLbl val="0"/>
      </c:catAx>
      <c:spPr>
        <a:noFill/>
        <a:ln>
          <a:noFill/>
        </a:ln>
        <a:effectLst/>
      </c:spPr>
    </c:plotArea>
    <c:plotVisOnly val="0"/>
    <c:dispBlanksAs val="gap"/>
    <c:showDLblsOverMax val="0"/>
  </c:chart>
  <c:spPr>
    <a:solidFill>
      <a:schemeClr val="bg1"/>
    </a:solidFill>
    <a:ln w="317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PAAC!A1"/><Relationship Id="rId13" Type="http://schemas.openxmlformats.org/officeDocument/2006/relationships/image" Target="../media/image7.png"/><Relationship Id="rId18" Type="http://schemas.openxmlformats.org/officeDocument/2006/relationships/hyperlink" Target="#Oficinas!A1"/><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hyperlink" Target="#Ciudadano!A1"/><Relationship Id="rId17" Type="http://schemas.openxmlformats.org/officeDocument/2006/relationships/image" Target="../media/image9.png"/><Relationship Id="rId2" Type="http://schemas.openxmlformats.org/officeDocument/2006/relationships/hyperlink" Target="#Indicaciones!A1"/><Relationship Id="rId16" Type="http://schemas.openxmlformats.org/officeDocument/2006/relationships/hyperlink" Target="#Consejer&#237;as!A1"/><Relationship Id="rId1" Type="http://schemas.openxmlformats.org/officeDocument/2006/relationships/image" Target="../media/image1.png"/><Relationship Id="rId6" Type="http://schemas.openxmlformats.org/officeDocument/2006/relationships/hyperlink" Target="#Ficha_ID!A1"/><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hyperlink" Target="#Corporativa!A1"/><Relationship Id="rId19" Type="http://schemas.openxmlformats.org/officeDocument/2006/relationships/image" Target="../media/image10.png"/><Relationship Id="rId4" Type="http://schemas.openxmlformats.org/officeDocument/2006/relationships/hyperlink" Target="#HV_indicador!A1"/><Relationship Id="rId9" Type="http://schemas.openxmlformats.org/officeDocument/2006/relationships/image" Target="../media/image5.png"/><Relationship Id="rId14" Type="http://schemas.openxmlformats.org/officeDocument/2006/relationships/hyperlink" Target="#'Sub. T&#233;cnica'!A1"/></Relationships>
</file>

<file path=xl/drawings/_rels/drawing10.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aciones!A1"/><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hyperlink" Target="#Ficha_ID!A1"/></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Plataforma Estrat&#233;gica'!A1"/><Relationship Id="rId7" Type="http://schemas.openxmlformats.org/officeDocument/2006/relationships/hyperlink" Target="#Ficha_ID!A1"/><Relationship Id="rId2" Type="http://schemas.openxmlformats.org/officeDocument/2006/relationships/image" Target="../media/image12.png"/><Relationship Id="rId1" Type="http://schemas.openxmlformats.org/officeDocument/2006/relationships/image" Target="../media/image11.jpeg"/><Relationship Id="rId6" Type="http://schemas.openxmlformats.org/officeDocument/2006/relationships/image" Target="../media/image14.png"/><Relationship Id="rId5" Type="http://schemas.openxmlformats.org/officeDocument/2006/relationships/hyperlink" Target="#'Modelo de Op. por procesos'!A1"/><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HV_indicador!A1"/><Relationship Id="rId5" Type="http://schemas.openxmlformats.org/officeDocument/2006/relationships/image" Target="../media/image2.png"/><Relationship Id="rId4" Type="http://schemas.openxmlformats.org/officeDocument/2006/relationships/hyperlink" Target="#Indicaciones!A1"/></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7.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HV_indicador!A1"/><Relationship Id="rId2" Type="http://schemas.openxmlformats.org/officeDocument/2006/relationships/image" Target="../media/image2.png"/><Relationship Id="rId1" Type="http://schemas.openxmlformats.org/officeDocument/2006/relationships/hyperlink" Target="#Indicaciones!A1"/><Relationship Id="rId6" Type="http://schemas.openxmlformats.org/officeDocument/2006/relationships/image" Target="../media/image4.png"/><Relationship Id="rId5" Type="http://schemas.openxmlformats.org/officeDocument/2006/relationships/hyperlink" Target="#Ficha_ID!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81579</xdr:colOff>
      <xdr:row>1</xdr:row>
      <xdr:rowOff>89647</xdr:rowOff>
    </xdr:from>
    <xdr:to>
      <xdr:col>1</xdr:col>
      <xdr:colOff>922020</xdr:colOff>
      <xdr:row>4</xdr:row>
      <xdr:rowOff>228601</xdr:rowOff>
    </xdr:to>
    <xdr:pic>
      <xdr:nvPicPr>
        <xdr:cNvPr id="3" name="Imagen 2" descr="Secretaría General | Alcaldía Mayor de Bogotá">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79" y="280147"/>
          <a:ext cx="1823421" cy="939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507108</xdr:colOff>
      <xdr:row>6</xdr:row>
      <xdr:rowOff>39863</xdr:rowOff>
    </xdr:from>
    <xdr:to>
      <xdr:col>9</xdr:col>
      <xdr:colOff>180006</xdr:colOff>
      <xdr:row>6</xdr:row>
      <xdr:rowOff>839002</xdr:rowOff>
    </xdr:to>
    <xdr:pic>
      <xdr:nvPicPr>
        <xdr:cNvPr id="4" name="Imagen 3" descr="home icon">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4744" y="1494590"/>
          <a:ext cx="833217" cy="799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570283</xdr:colOff>
      <xdr:row>7</xdr:row>
      <xdr:rowOff>83432</xdr:rowOff>
    </xdr:from>
    <xdr:ext cx="706867" cy="692272"/>
    <xdr:pic>
      <xdr:nvPicPr>
        <xdr:cNvPr id="9" name="Imagen 8" descr="business, find, lupa, magnifying glass, mercadolibre, seo, zoom icon">
          <a:hlinkClick xmlns:r="http://schemas.openxmlformats.org/officeDocument/2006/relationships" r:id="rId4"/>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67919" y="2421387"/>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567369</xdr:colOff>
      <xdr:row>8</xdr:row>
      <xdr:rowOff>115055</xdr:rowOff>
    </xdr:from>
    <xdr:to>
      <xdr:col>9</xdr:col>
      <xdr:colOff>110220</xdr:colOff>
      <xdr:row>8</xdr:row>
      <xdr:rowOff>812203</xdr:rowOff>
    </xdr:to>
    <xdr:pic>
      <xdr:nvPicPr>
        <xdr:cNvPr id="10" name="Imagen 9" descr="feet, footprint, footwear, shoe, shoe prints icon">
          <a:hlinkClick xmlns:r="http://schemas.openxmlformats.org/officeDocument/2006/relationships" r:id="rId6"/>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65005" y="3336237"/>
          <a:ext cx="703170" cy="697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380337</xdr:colOff>
      <xdr:row>10</xdr:row>
      <xdr:rowOff>68036</xdr:rowOff>
    </xdr:from>
    <xdr:to>
      <xdr:col>9</xdr:col>
      <xdr:colOff>306777</xdr:colOff>
      <xdr:row>10</xdr:row>
      <xdr:rowOff>993606</xdr:rowOff>
    </xdr:to>
    <xdr:pic>
      <xdr:nvPicPr>
        <xdr:cNvPr id="2" name="Imagen 1">
          <a:hlinkClick xmlns:r="http://schemas.openxmlformats.org/officeDocument/2006/relationships" r:id="rId8"/>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9"/>
        <a:srcRect b="8606"/>
        <a:stretch/>
      </xdr:blipFill>
      <xdr:spPr>
        <a:xfrm>
          <a:off x="9177973" y="5055672"/>
          <a:ext cx="1086759" cy="925570"/>
        </a:xfrm>
        <a:prstGeom prst="rect">
          <a:avLst/>
        </a:prstGeom>
      </xdr:spPr>
    </xdr:pic>
    <xdr:clientData/>
  </xdr:twoCellAnchor>
  <xdr:twoCellAnchor editAs="oneCell">
    <xdr:from>
      <xdr:col>8</xdr:col>
      <xdr:colOff>429777</xdr:colOff>
      <xdr:row>15</xdr:row>
      <xdr:rowOff>61851</xdr:rowOff>
    </xdr:from>
    <xdr:to>
      <xdr:col>9</xdr:col>
      <xdr:colOff>257336</xdr:colOff>
      <xdr:row>15</xdr:row>
      <xdr:rowOff>857868</xdr:rowOff>
    </xdr:to>
    <xdr:pic>
      <xdr:nvPicPr>
        <xdr:cNvPr id="17" name="Imagen 16" descr="Lineamientos Jurisprudenciales sobre daños causados a y por ...">
          <a:hlinkClick xmlns:r="http://schemas.openxmlformats.org/officeDocument/2006/relationships" r:id="rId1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7413" y="9777351"/>
          <a:ext cx="987878" cy="796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511340</xdr:colOff>
      <xdr:row>14</xdr:row>
      <xdr:rowOff>40820</xdr:rowOff>
    </xdr:from>
    <xdr:to>
      <xdr:col>9</xdr:col>
      <xdr:colOff>175774</xdr:colOff>
      <xdr:row>14</xdr:row>
      <xdr:rowOff>863454</xdr:rowOff>
    </xdr:to>
    <xdr:pic>
      <xdr:nvPicPr>
        <xdr:cNvPr id="20" name="Imagen 19" descr="corporate citizenship, corporate conscience, corporate social responsibility, corporate sustainability, csr, responsible business, sustainable business icon icon">
          <a:hlinkClick xmlns:r="http://schemas.openxmlformats.org/officeDocument/2006/relationships" r:id="rId1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08976" y="8838456"/>
          <a:ext cx="824753" cy="822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497445</xdr:colOff>
      <xdr:row>13</xdr:row>
      <xdr:rowOff>13607</xdr:rowOff>
    </xdr:from>
    <xdr:to>
      <xdr:col>9</xdr:col>
      <xdr:colOff>180144</xdr:colOff>
      <xdr:row>13</xdr:row>
      <xdr:rowOff>864430</xdr:rowOff>
    </xdr:to>
    <xdr:pic>
      <xdr:nvPicPr>
        <xdr:cNvPr id="22" name="Imagen 21" descr="court, courthouse, government, law icon">
          <a:hlinkClick xmlns:r="http://schemas.openxmlformats.org/officeDocument/2006/relationships" r:id="rId14"/>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95081" y="7893380"/>
          <a:ext cx="843018" cy="850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583511</xdr:colOff>
      <xdr:row>12</xdr:row>
      <xdr:rowOff>13609</xdr:rowOff>
    </xdr:from>
    <xdr:to>
      <xdr:col>9</xdr:col>
      <xdr:colOff>94078</xdr:colOff>
      <xdr:row>12</xdr:row>
      <xdr:rowOff>870859</xdr:rowOff>
    </xdr:to>
    <xdr:pic>
      <xdr:nvPicPr>
        <xdr:cNvPr id="25" name="Imagen 24" descr="Comercialización, Redes Sociales, La Comunicación">
          <a:hlinkClick xmlns:r="http://schemas.openxmlformats.org/officeDocument/2006/relationships" r:id="rId16"/>
          <a:extLst>
            <a:ext uri="{FF2B5EF4-FFF2-40B4-BE49-F238E27FC236}">
              <a16:creationId xmlns:a16="http://schemas.microsoft.com/office/drawing/2014/main" id="{00000000-0008-0000-0000-000019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13281" b="9375"/>
        <a:stretch/>
      </xdr:blipFill>
      <xdr:spPr bwMode="auto">
        <a:xfrm>
          <a:off x="9381147" y="6975518"/>
          <a:ext cx="67088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523954</xdr:colOff>
      <xdr:row>11</xdr:row>
      <xdr:rowOff>27214</xdr:rowOff>
    </xdr:from>
    <xdr:to>
      <xdr:col>9</xdr:col>
      <xdr:colOff>163160</xdr:colOff>
      <xdr:row>11</xdr:row>
      <xdr:rowOff>867049</xdr:rowOff>
    </xdr:to>
    <xdr:pic>
      <xdr:nvPicPr>
        <xdr:cNvPr id="6" name="Imagen 5">
          <a:hlinkClick xmlns:r="http://schemas.openxmlformats.org/officeDocument/2006/relationships" r:id="rId18"/>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21590" y="6071259"/>
          <a:ext cx="799525" cy="8398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385482</xdr:colOff>
      <xdr:row>0</xdr:row>
      <xdr:rowOff>52829</xdr:rowOff>
    </xdr:from>
    <xdr:to>
      <xdr:col>7</xdr:col>
      <xdr:colOff>1218699</xdr:colOff>
      <xdr:row>3</xdr:row>
      <xdr:rowOff>171611</xdr:rowOff>
    </xdr:to>
    <xdr:pic>
      <xdr:nvPicPr>
        <xdr:cNvPr id="2" name="Imagen 1" descr="home icon">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4161" y="52829"/>
          <a:ext cx="833217" cy="853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130883</xdr:colOff>
      <xdr:row>0</xdr:row>
      <xdr:rowOff>133477</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76669" y="133477"/>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1143448</xdr:colOff>
      <xdr:row>0</xdr:row>
      <xdr:rowOff>112149</xdr:rowOff>
    </xdr:from>
    <xdr:to>
      <xdr:col>8</xdr:col>
      <xdr:colOff>1846618</xdr:colOff>
      <xdr:row>3</xdr:row>
      <xdr:rowOff>112291</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689234" y="112149"/>
          <a:ext cx="703170" cy="734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342900</xdr:colOff>
      <xdr:row>0</xdr:row>
      <xdr:rowOff>60417</xdr:rowOff>
    </xdr:from>
    <xdr:to>
      <xdr:col>7</xdr:col>
      <xdr:colOff>1176117</xdr:colOff>
      <xdr:row>3</xdr:row>
      <xdr:rowOff>175165</xdr:rowOff>
    </xdr:to>
    <xdr:pic>
      <xdr:nvPicPr>
        <xdr:cNvPr id="2" name="Imagen 1" descr="home icon">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85864" y="60417"/>
          <a:ext cx="833217" cy="84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89646</xdr:colOff>
      <xdr:row>0</xdr:row>
      <xdr:rowOff>139048</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79717" y="139048"/>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1102211</xdr:colOff>
      <xdr:row>0</xdr:row>
      <xdr:rowOff>119737</xdr:rowOff>
    </xdr:from>
    <xdr:to>
      <xdr:col>8</xdr:col>
      <xdr:colOff>1814906</xdr:colOff>
      <xdr:row>3</xdr:row>
      <xdr:rowOff>115845</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192282" y="119737"/>
          <a:ext cx="712695" cy="730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236220</xdr:colOff>
      <xdr:row>0</xdr:row>
      <xdr:rowOff>72391</xdr:rowOff>
    </xdr:from>
    <xdr:to>
      <xdr:col>8</xdr:col>
      <xdr:colOff>31212</xdr:colOff>
      <xdr:row>3</xdr:row>
      <xdr:rowOff>177614</xdr:rowOff>
    </xdr:to>
    <xdr:pic>
      <xdr:nvPicPr>
        <xdr:cNvPr id="2" name="Imagen 1" descr="home icon">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6541" y="72391"/>
          <a:ext cx="829135" cy="84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330025</xdr:colOff>
      <xdr:row>0</xdr:row>
      <xdr:rowOff>151022</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644489" y="151022"/>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1335706</xdr:colOff>
      <xdr:row>0</xdr:row>
      <xdr:rowOff>131711</xdr:rowOff>
    </xdr:from>
    <xdr:to>
      <xdr:col>9</xdr:col>
      <xdr:colOff>410102</xdr:colOff>
      <xdr:row>3</xdr:row>
      <xdr:rowOff>127819</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650170" y="131711"/>
          <a:ext cx="707253" cy="730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280147</xdr:colOff>
      <xdr:row>0</xdr:row>
      <xdr:rowOff>56030</xdr:rowOff>
    </xdr:from>
    <xdr:to>
      <xdr:col>4</xdr:col>
      <xdr:colOff>1113364</xdr:colOff>
      <xdr:row>4</xdr:row>
      <xdr:rowOff>33186</xdr:rowOff>
    </xdr:to>
    <xdr:pic>
      <xdr:nvPicPr>
        <xdr:cNvPr id="2" name="Imagen 1" descr="home icon">
          <a:hlinkClick xmlns:r="http://schemas.openxmlformats.org/officeDocument/2006/relationships" r:id="rId1"/>
          <a:extLst>
            <a:ext uri="{FF2B5EF4-FFF2-40B4-BE49-F238E27FC236}">
              <a16:creationId xmlns:a16="http://schemas.microsoft.com/office/drawing/2014/main" id="{17B37C7B-3327-424B-8BE4-D033D8FC86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27559" y="56030"/>
          <a:ext cx="833217" cy="840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1374000</xdr:colOff>
      <xdr:row>0</xdr:row>
      <xdr:rowOff>134661</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17414ACD-09E4-4E1F-B682-92F2B32DC8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21412" y="134661"/>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560006</xdr:colOff>
      <xdr:row>0</xdr:row>
      <xdr:rowOff>115350</xdr:rowOff>
    </xdr:from>
    <xdr:to>
      <xdr:col>5</xdr:col>
      <xdr:colOff>1272701</xdr:colOff>
      <xdr:row>3</xdr:row>
      <xdr:rowOff>173891</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CC11F1B5-5345-4842-B16B-7D6017873E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933977" y="115350"/>
          <a:ext cx="712695" cy="730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324971</xdr:colOff>
      <xdr:row>0</xdr:row>
      <xdr:rowOff>44824</xdr:rowOff>
    </xdr:from>
    <xdr:to>
      <xdr:col>4</xdr:col>
      <xdr:colOff>1158188</xdr:colOff>
      <xdr:row>4</xdr:row>
      <xdr:rowOff>29984</xdr:rowOff>
    </xdr:to>
    <xdr:pic>
      <xdr:nvPicPr>
        <xdr:cNvPr id="2" name="Imagen 1" descr="home icon">
          <a:hlinkClick xmlns:r="http://schemas.openxmlformats.org/officeDocument/2006/relationships" r:id="rId1"/>
          <a:extLst>
            <a:ext uri="{FF2B5EF4-FFF2-40B4-BE49-F238E27FC236}">
              <a16:creationId xmlns:a16="http://schemas.microsoft.com/office/drawing/2014/main" id="{5F4AE064-C8E2-47CA-8542-B03B8751A1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72383" y="44824"/>
          <a:ext cx="833217" cy="8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1418824</xdr:colOff>
      <xdr:row>0</xdr:row>
      <xdr:rowOff>123455</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233B27A9-F7C1-436A-8C84-1FE39D4F3E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966236" y="123455"/>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601628</xdr:colOff>
      <xdr:row>0</xdr:row>
      <xdr:rowOff>104144</xdr:rowOff>
    </xdr:from>
    <xdr:to>
      <xdr:col>5</xdr:col>
      <xdr:colOff>1314323</xdr:colOff>
      <xdr:row>3</xdr:row>
      <xdr:rowOff>170689</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A20E13D3-EFAB-475D-B7F5-AE85C699D37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975599" y="104144"/>
          <a:ext cx="712695" cy="73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381000</xdr:colOff>
      <xdr:row>0</xdr:row>
      <xdr:rowOff>54428</xdr:rowOff>
    </xdr:from>
    <xdr:to>
      <xdr:col>4</xdr:col>
      <xdr:colOff>1214217</xdr:colOff>
      <xdr:row>4</xdr:row>
      <xdr:rowOff>31584</xdr:rowOff>
    </xdr:to>
    <xdr:pic>
      <xdr:nvPicPr>
        <xdr:cNvPr id="2" name="Imagen 1" descr="home icon">
          <a:hlinkClick xmlns:r="http://schemas.openxmlformats.org/officeDocument/2006/relationships" r:id="rId1"/>
          <a:extLst>
            <a:ext uri="{FF2B5EF4-FFF2-40B4-BE49-F238E27FC236}">
              <a16:creationId xmlns:a16="http://schemas.microsoft.com/office/drawing/2014/main" id="{F84CC791-4756-4F85-A201-FAA6CD276D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78143" y="54428"/>
          <a:ext cx="833217" cy="8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1474853</xdr:colOff>
      <xdr:row>0</xdr:row>
      <xdr:rowOff>133059</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7B264606-50B5-4B2B-847C-4BD512EE977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71996" y="133059"/>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660859</xdr:colOff>
      <xdr:row>0</xdr:row>
      <xdr:rowOff>113748</xdr:rowOff>
    </xdr:from>
    <xdr:to>
      <xdr:col>5</xdr:col>
      <xdr:colOff>1373554</xdr:colOff>
      <xdr:row>3</xdr:row>
      <xdr:rowOff>172289</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DE64C50F-9F59-46E0-9696-626B448A7E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281359" y="113748"/>
          <a:ext cx="712695" cy="73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476250</xdr:colOff>
      <xdr:row>0</xdr:row>
      <xdr:rowOff>68036</xdr:rowOff>
    </xdr:from>
    <xdr:to>
      <xdr:col>18</xdr:col>
      <xdr:colOff>71217</xdr:colOff>
      <xdr:row>4</xdr:row>
      <xdr:rowOff>45192</xdr:rowOff>
    </xdr:to>
    <xdr:pic>
      <xdr:nvPicPr>
        <xdr:cNvPr id="2" name="Imagen 1" descr="home icon">
          <a:hlinkClick xmlns:r="http://schemas.openxmlformats.org/officeDocument/2006/relationships" r:id="rId1"/>
          <a:extLst>
            <a:ext uri="{FF2B5EF4-FFF2-40B4-BE49-F238E27FC236}">
              <a16:creationId xmlns:a16="http://schemas.microsoft.com/office/drawing/2014/main" id="{24FEEDE2-FD3F-40C2-8A50-9F6E1E5703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05357" y="68036"/>
          <a:ext cx="833217" cy="8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1570103</xdr:colOff>
      <xdr:row>0</xdr:row>
      <xdr:rowOff>146667</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60B0B722-7BB0-4FF4-A3D1-8FEF4436294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99210" y="146667"/>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756109</xdr:colOff>
      <xdr:row>0</xdr:row>
      <xdr:rowOff>127356</xdr:rowOff>
    </xdr:from>
    <xdr:to>
      <xdr:col>17</xdr:col>
      <xdr:colOff>712695</xdr:colOff>
      <xdr:row>3</xdr:row>
      <xdr:rowOff>176372</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C4AEE4AE-3938-482F-95FE-20AC17B4AD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08573" y="127356"/>
          <a:ext cx="712695" cy="73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435429</xdr:colOff>
      <xdr:row>0</xdr:row>
      <xdr:rowOff>13607</xdr:rowOff>
    </xdr:from>
    <xdr:to>
      <xdr:col>4</xdr:col>
      <xdr:colOff>1268646</xdr:colOff>
      <xdr:row>4</xdr:row>
      <xdr:rowOff>288</xdr:rowOff>
    </xdr:to>
    <xdr:pic>
      <xdr:nvPicPr>
        <xdr:cNvPr id="2" name="Imagen 1" descr="home icon">
          <a:hlinkClick xmlns:r="http://schemas.openxmlformats.org/officeDocument/2006/relationships" r:id="rId1"/>
          <a:extLst>
            <a:ext uri="{FF2B5EF4-FFF2-40B4-BE49-F238E27FC236}">
              <a16:creationId xmlns:a16="http://schemas.microsoft.com/office/drawing/2014/main" id="{AC3BADD4-663E-456C-B26B-87DD9EA725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55036" y="13607"/>
          <a:ext cx="833217" cy="8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1529282</xdr:colOff>
      <xdr:row>0</xdr:row>
      <xdr:rowOff>92238</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1FF6A8E7-B71A-4779-904C-D32B25E6B0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48889" y="92238"/>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715288</xdr:colOff>
      <xdr:row>0</xdr:row>
      <xdr:rowOff>72927</xdr:rowOff>
    </xdr:from>
    <xdr:to>
      <xdr:col>5</xdr:col>
      <xdr:colOff>1427983</xdr:colOff>
      <xdr:row>3</xdr:row>
      <xdr:rowOff>131468</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B59D341B-2103-4374-8AF0-FBB7844A83F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58252" y="72927"/>
          <a:ext cx="712695" cy="73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476249</xdr:colOff>
      <xdr:row>0</xdr:row>
      <xdr:rowOff>81643</xdr:rowOff>
    </xdr:from>
    <xdr:to>
      <xdr:col>4</xdr:col>
      <xdr:colOff>1309466</xdr:colOff>
      <xdr:row>4</xdr:row>
      <xdr:rowOff>58799</xdr:rowOff>
    </xdr:to>
    <xdr:pic>
      <xdr:nvPicPr>
        <xdr:cNvPr id="2" name="Imagen 1" descr="home icon">
          <a:hlinkClick xmlns:r="http://schemas.openxmlformats.org/officeDocument/2006/relationships" r:id="rId1"/>
          <a:extLst>
            <a:ext uri="{FF2B5EF4-FFF2-40B4-BE49-F238E27FC236}">
              <a16:creationId xmlns:a16="http://schemas.microsoft.com/office/drawing/2014/main" id="{80EFEC6F-53B7-46E1-976E-18FE7CB4E2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1428" y="81643"/>
          <a:ext cx="833217" cy="8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1570102</xdr:colOff>
      <xdr:row>0</xdr:row>
      <xdr:rowOff>160274</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DF87AE37-1B56-418C-B933-E47B5CF82B0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35281" y="160274"/>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756108</xdr:colOff>
      <xdr:row>0</xdr:row>
      <xdr:rowOff>140963</xdr:rowOff>
    </xdr:from>
    <xdr:to>
      <xdr:col>5</xdr:col>
      <xdr:colOff>1468803</xdr:colOff>
      <xdr:row>4</xdr:row>
      <xdr:rowOff>9004</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91C1985D-9124-4708-9F84-A4E04FB020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44644" y="140963"/>
          <a:ext cx="712695" cy="73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81579</xdr:colOff>
      <xdr:row>1</xdr:row>
      <xdr:rowOff>89646</xdr:rowOff>
    </xdr:from>
    <xdr:to>
      <xdr:col>2</xdr:col>
      <xdr:colOff>923927</xdr:colOff>
      <xdr:row>4</xdr:row>
      <xdr:rowOff>215152</xdr:rowOff>
    </xdr:to>
    <xdr:pic>
      <xdr:nvPicPr>
        <xdr:cNvPr id="18" name="Imagen 17" descr="Secretaría General | Alcaldía Mayor de Bogotá">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473" y="277905"/>
          <a:ext cx="1828466" cy="932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89646</xdr:colOff>
      <xdr:row>1</xdr:row>
      <xdr:rowOff>80682</xdr:rowOff>
    </xdr:from>
    <xdr:to>
      <xdr:col>10</xdr:col>
      <xdr:colOff>922863</xdr:colOff>
      <xdr:row>4</xdr:row>
      <xdr:rowOff>89647</xdr:rowOff>
    </xdr:to>
    <xdr:pic>
      <xdr:nvPicPr>
        <xdr:cNvPr id="3" name="Imagen 2" descr="home icon">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87317" y="268941"/>
          <a:ext cx="833217" cy="81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8965</xdr:colOff>
      <xdr:row>1</xdr:row>
      <xdr:rowOff>213665</xdr:rowOff>
    </xdr:from>
    <xdr:to>
      <xdr:col>11</xdr:col>
      <xdr:colOff>721660</xdr:colOff>
      <xdr:row>4</xdr:row>
      <xdr:rowOff>103990</xdr:rowOff>
    </xdr:to>
    <xdr:pic>
      <xdr:nvPicPr>
        <xdr:cNvPr id="5" name="Imagen 4" descr="feet, footprint, footwear, shoe, shoe prints icon">
          <a:hlinkClick xmlns:r="http://schemas.openxmlformats.org/officeDocument/2006/relationships" r:id="rId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89977" y="401924"/>
          <a:ext cx="712695" cy="697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215153</xdr:colOff>
      <xdr:row>1</xdr:row>
      <xdr:rowOff>8965</xdr:rowOff>
    </xdr:from>
    <xdr:to>
      <xdr:col>13</xdr:col>
      <xdr:colOff>636494</xdr:colOff>
      <xdr:row>33</xdr:row>
      <xdr:rowOff>10646</xdr:rowOff>
    </xdr:to>
    <xdr:pic>
      <xdr:nvPicPr>
        <xdr:cNvPr id="2" name="1 Imagen">
          <a:extLst>
            <a:ext uri="{FF2B5EF4-FFF2-40B4-BE49-F238E27FC236}">
              <a16:creationId xmlns:a16="http://schemas.microsoft.com/office/drawing/2014/main" id="{069436AE-D0DB-403A-BCE4-C8A60B06C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525" b="8129"/>
        <a:stretch/>
      </xdr:blipFill>
      <xdr:spPr bwMode="auto">
        <a:xfrm>
          <a:off x="215153" y="188259"/>
          <a:ext cx="10255623" cy="5739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447675</xdr:colOff>
      <xdr:row>2</xdr:row>
      <xdr:rowOff>66675</xdr:rowOff>
    </xdr:from>
    <xdr:to>
      <xdr:col>12</xdr:col>
      <xdr:colOff>18311</xdr:colOff>
      <xdr:row>7</xdr:row>
      <xdr:rowOff>190425</xdr:rowOff>
    </xdr:to>
    <xdr:pic>
      <xdr:nvPicPr>
        <xdr:cNvPr id="3" name="2 Imagen">
          <a:extLst>
            <a:ext uri="{FF2B5EF4-FFF2-40B4-BE49-F238E27FC236}">
              <a16:creationId xmlns:a16="http://schemas.microsoft.com/office/drawing/2014/main" id="{8F6F5D2D-F3FA-476F-AB10-8B0063C0DA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0035" y="630555"/>
          <a:ext cx="1140356" cy="10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247650</xdr:colOff>
      <xdr:row>12</xdr:row>
      <xdr:rowOff>29642</xdr:rowOff>
    </xdr:from>
    <xdr:ext cx="4290476" cy="1893339"/>
    <xdr:sp macro="" textlink="">
      <xdr:nvSpPr>
        <xdr:cNvPr id="4" name="1 CuadroTexto">
          <a:extLst>
            <a:ext uri="{FF2B5EF4-FFF2-40B4-BE49-F238E27FC236}">
              <a16:creationId xmlns:a16="http://schemas.microsoft.com/office/drawing/2014/main" id="{DD260A6F-7337-4D42-9CF0-07C4678ACE44}"/>
            </a:ext>
          </a:extLst>
        </xdr:cNvPr>
        <xdr:cNvSpPr txBox="1"/>
      </xdr:nvSpPr>
      <xdr:spPr>
        <a:xfrm rot="10800000" flipV="1">
          <a:off x="6130290" y="2422322"/>
          <a:ext cx="4290476" cy="1893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gn="ctr"/>
          <a:r>
            <a:rPr lang="es-CO" sz="1300" b="0">
              <a:solidFill>
                <a:schemeClr val="bg1"/>
              </a:solidFill>
              <a:latin typeface="Helvetica Narrow" pitchFamily="34" charset="0"/>
              <a:ea typeface="Verdana" pitchFamily="34" charset="0"/>
              <a:cs typeface="Verdana" pitchFamily="34" charset="0"/>
            </a:rPr>
            <a:t>Este visor le permite acceder y consultar de manera dinámica e interactiva los indicadores de gestión</a:t>
          </a:r>
          <a:r>
            <a:rPr lang="es-CO" sz="1300" b="0" baseline="0">
              <a:solidFill>
                <a:schemeClr val="bg1"/>
              </a:solidFill>
              <a:latin typeface="Helvetica Narrow" pitchFamily="34" charset="0"/>
              <a:ea typeface="Verdana" pitchFamily="34" charset="0"/>
              <a:cs typeface="Verdana" pitchFamily="34" charset="0"/>
            </a:rPr>
            <a:t> de la Secretaría General</a:t>
          </a:r>
          <a:r>
            <a:rPr lang="es-CO" sz="1300" b="0">
              <a:solidFill>
                <a:schemeClr val="bg1"/>
              </a:solidFill>
              <a:latin typeface="Helvetica Narrow" pitchFamily="34" charset="0"/>
              <a:ea typeface="Verdana" pitchFamily="34" charset="0"/>
              <a:cs typeface="Verdana" pitchFamily="34" charset="0"/>
            </a:rPr>
            <a:t>.</a:t>
          </a:r>
        </a:p>
        <a:p>
          <a:pPr algn="ctr"/>
          <a:r>
            <a:rPr lang="es-CO" sz="1300" b="0" baseline="0">
              <a:solidFill>
                <a:schemeClr val="bg1"/>
              </a:solidFill>
              <a:latin typeface="Helvetica Narrow" pitchFamily="34" charset="0"/>
              <a:ea typeface="Verdana" pitchFamily="34" charset="0"/>
              <a:cs typeface="Verdana" pitchFamily="34" charset="0"/>
            </a:rPr>
            <a:t>La presentación del indicador seleccionado,</a:t>
          </a:r>
          <a:r>
            <a:rPr lang="es-CO" sz="1300" b="0">
              <a:solidFill>
                <a:schemeClr val="bg1"/>
              </a:solidFill>
              <a:latin typeface="Helvetica Narrow" pitchFamily="34" charset="0"/>
              <a:ea typeface="Verdana" pitchFamily="34" charset="0"/>
              <a:cs typeface="Verdana" pitchFamily="34" charset="0"/>
            </a:rPr>
            <a:t> incluye los datos de su hoja </a:t>
          </a:r>
          <a:r>
            <a:rPr lang="es-CO" sz="1300" b="0" baseline="0">
              <a:solidFill>
                <a:schemeClr val="bg1"/>
              </a:solidFill>
              <a:latin typeface="Helvetica Narrow" pitchFamily="34" charset="0"/>
              <a:ea typeface="Verdana" pitchFamily="34" charset="0"/>
              <a:cs typeface="Verdana" pitchFamily="34" charset="0"/>
            </a:rPr>
            <a:t>de vida, la programación para esta vigencia y el avance cuantitativo y cualitativo del mismo. Asi mismo, es posible identificar si tiene relación directa con el Plan Distrital de Desarrollo y con los objetivos estratégicos de la entidad. </a:t>
          </a:r>
        </a:p>
        <a:p>
          <a:pPr algn="ctr"/>
          <a:r>
            <a:rPr lang="es-CO" sz="1300" b="0" baseline="0">
              <a:solidFill>
                <a:schemeClr val="bg1"/>
              </a:solidFill>
              <a:latin typeface="Helvetica Narrow" pitchFamily="34" charset="0"/>
              <a:ea typeface="Verdana" pitchFamily="34" charset="0"/>
              <a:cs typeface="Verdana" pitchFamily="34" charset="0"/>
            </a:rPr>
            <a:t>Se presentan ademas como anexos, la plataforma estratégica de la entidad y el modelo de operación por procesos</a:t>
          </a:r>
          <a:r>
            <a:rPr lang="es-CO" sz="1300" b="0">
              <a:solidFill>
                <a:schemeClr val="bg1"/>
              </a:solidFill>
              <a:latin typeface="Helvetica Narrow" pitchFamily="34" charset="0"/>
              <a:ea typeface="Verdana" pitchFamily="34" charset="0"/>
              <a:cs typeface="Verdana" pitchFamily="34" charset="0"/>
            </a:rPr>
            <a:t>.</a:t>
          </a:r>
          <a:endParaRPr lang="es-CO" sz="1300" b="1">
            <a:solidFill>
              <a:schemeClr val="bg1"/>
            </a:solidFill>
            <a:latin typeface="Helvetica Narrow" pitchFamily="34" charset="0"/>
          </a:endParaRPr>
        </a:p>
      </xdr:txBody>
    </xdr:sp>
    <xdr:clientData/>
  </xdr:oneCellAnchor>
  <xdr:oneCellAnchor>
    <xdr:from>
      <xdr:col>1</xdr:col>
      <xdr:colOff>47624</xdr:colOff>
      <xdr:row>30</xdr:row>
      <xdr:rowOff>66675</xdr:rowOff>
    </xdr:from>
    <xdr:ext cx="2752725" cy="444502"/>
    <xdr:sp macro="" textlink="">
      <xdr:nvSpPr>
        <xdr:cNvPr id="5" name="8 CuadroTexto">
          <a:extLst>
            <a:ext uri="{FF2B5EF4-FFF2-40B4-BE49-F238E27FC236}">
              <a16:creationId xmlns:a16="http://schemas.microsoft.com/office/drawing/2014/main" id="{51988664-01FC-42FA-868F-3986D3962119}"/>
            </a:ext>
          </a:extLst>
        </xdr:cNvPr>
        <xdr:cNvSpPr txBox="1"/>
      </xdr:nvSpPr>
      <xdr:spPr>
        <a:xfrm rot="10800000" flipV="1">
          <a:off x="436244" y="5751195"/>
          <a:ext cx="2752725" cy="444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Instrumento elaborado por:</a:t>
          </a:r>
        </a:p>
        <a:p>
          <a:pPr algn="l"/>
          <a:r>
            <a:rPr lang="es-CO" sz="1100" b="1" i="0">
              <a:solidFill>
                <a:schemeClr val="bg1"/>
              </a:solidFill>
              <a:latin typeface="Helvetica Narrow" pitchFamily="34" charset="0"/>
            </a:rPr>
            <a:t>Oficina</a:t>
          </a:r>
          <a:r>
            <a:rPr lang="es-CO" sz="1100" b="1" i="0" baseline="0">
              <a:solidFill>
                <a:schemeClr val="bg1"/>
              </a:solidFill>
              <a:latin typeface="Helvetica Narrow" pitchFamily="34" charset="0"/>
            </a:rPr>
            <a:t> Asesora de Planeación</a:t>
          </a:r>
          <a:endParaRPr lang="es-CO" sz="1100" b="1" i="0">
            <a:solidFill>
              <a:schemeClr val="bg1"/>
            </a:solidFill>
            <a:latin typeface="Helvetica Narrow" pitchFamily="34" charset="0"/>
          </a:endParaRPr>
        </a:p>
      </xdr:txBody>
    </xdr:sp>
    <xdr:clientData/>
  </xdr:oneCellAnchor>
  <xdr:twoCellAnchor editAs="oneCell">
    <xdr:from>
      <xdr:col>13</xdr:col>
      <xdr:colOff>19050</xdr:colOff>
      <xdr:row>27</xdr:row>
      <xdr:rowOff>85725</xdr:rowOff>
    </xdr:from>
    <xdr:to>
      <xdr:col>13</xdr:col>
      <xdr:colOff>472274</xdr:colOff>
      <xdr:row>29</xdr:row>
      <xdr:rowOff>161925</xdr:rowOff>
    </xdr:to>
    <xdr:pic>
      <xdr:nvPicPr>
        <xdr:cNvPr id="6" name="Imagen 5">
          <a:hlinkClick xmlns:r="http://schemas.openxmlformats.org/officeDocument/2006/relationships" r:id="rId3"/>
          <a:extLst>
            <a:ext uri="{FF2B5EF4-FFF2-40B4-BE49-F238E27FC236}">
              <a16:creationId xmlns:a16="http://schemas.microsoft.com/office/drawing/2014/main" id="{1E5B1C53-6308-4D18-9313-10014742EC3B}"/>
            </a:ext>
          </a:extLst>
        </xdr:cNvPr>
        <xdr:cNvPicPr>
          <a:picLocks noChangeAspect="1"/>
        </xdr:cNvPicPr>
      </xdr:nvPicPr>
      <xdr:blipFill rotWithShape="1">
        <a:blip xmlns:r="http://schemas.openxmlformats.org/officeDocument/2006/relationships" r:embed="rId4"/>
        <a:srcRect l="3648" t="3201" r="3914" b="4789"/>
        <a:stretch/>
      </xdr:blipFill>
      <xdr:spPr>
        <a:xfrm>
          <a:off x="9825990" y="5221605"/>
          <a:ext cx="453224" cy="441960"/>
        </a:xfrm>
        <a:prstGeom prst="rect">
          <a:avLst/>
        </a:prstGeom>
      </xdr:spPr>
    </xdr:pic>
    <xdr:clientData/>
  </xdr:twoCellAnchor>
  <xdr:twoCellAnchor editAs="oneCell">
    <xdr:from>
      <xdr:col>13</xdr:col>
      <xdr:colOff>38100</xdr:colOff>
      <xdr:row>30</xdr:row>
      <xdr:rowOff>85095</xdr:rowOff>
    </xdr:from>
    <xdr:to>
      <xdr:col>13</xdr:col>
      <xdr:colOff>457200</xdr:colOff>
      <xdr:row>32</xdr:row>
      <xdr:rowOff>104774</xdr:rowOff>
    </xdr:to>
    <xdr:pic>
      <xdr:nvPicPr>
        <xdr:cNvPr id="7" name="Imagen 6">
          <a:hlinkClick xmlns:r="http://schemas.openxmlformats.org/officeDocument/2006/relationships" r:id="rId5"/>
          <a:extLst>
            <a:ext uri="{FF2B5EF4-FFF2-40B4-BE49-F238E27FC236}">
              <a16:creationId xmlns:a16="http://schemas.microsoft.com/office/drawing/2014/main" id="{DA3378EE-127E-488F-97A1-4E83BF1B11EC}"/>
            </a:ext>
          </a:extLst>
        </xdr:cNvPr>
        <xdr:cNvPicPr>
          <a:picLocks noChangeAspect="1"/>
        </xdr:cNvPicPr>
      </xdr:nvPicPr>
      <xdr:blipFill rotWithShape="1">
        <a:blip xmlns:r="http://schemas.openxmlformats.org/officeDocument/2006/relationships" r:embed="rId6"/>
        <a:srcRect l="24001" t="11622" r="24000" b="9882"/>
        <a:stretch/>
      </xdr:blipFill>
      <xdr:spPr>
        <a:xfrm>
          <a:off x="9845040" y="5769615"/>
          <a:ext cx="419100" cy="385439"/>
        </a:xfrm>
        <a:prstGeom prst="rect">
          <a:avLst/>
        </a:prstGeom>
      </xdr:spPr>
    </xdr:pic>
    <xdr:clientData/>
  </xdr:twoCellAnchor>
  <xdr:oneCellAnchor>
    <xdr:from>
      <xdr:col>9</xdr:col>
      <xdr:colOff>361950</xdr:colOff>
      <xdr:row>30</xdr:row>
      <xdr:rowOff>9525</xdr:rowOff>
    </xdr:from>
    <xdr:ext cx="2790822" cy="323850"/>
    <xdr:sp macro="" textlink="">
      <xdr:nvSpPr>
        <xdr:cNvPr id="8" name="8 CuadroTexto">
          <a:extLst>
            <a:ext uri="{FF2B5EF4-FFF2-40B4-BE49-F238E27FC236}">
              <a16:creationId xmlns:a16="http://schemas.microsoft.com/office/drawing/2014/main" id="{2F97F1F6-C70A-4DB9-B7DA-2A1551836079}"/>
            </a:ext>
          </a:extLst>
        </xdr:cNvPr>
        <xdr:cNvSpPr txBox="1"/>
      </xdr:nvSpPr>
      <xdr:spPr>
        <a:xfrm rot="10800000" flipV="1">
          <a:off x="7029450" y="5694045"/>
          <a:ext cx="2790822"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Modelo de operación por procesos</a:t>
          </a:r>
        </a:p>
      </xdr:txBody>
    </xdr:sp>
    <xdr:clientData/>
  </xdr:oneCellAnchor>
  <xdr:oneCellAnchor>
    <xdr:from>
      <xdr:col>9</xdr:col>
      <xdr:colOff>419100</xdr:colOff>
      <xdr:row>27</xdr:row>
      <xdr:rowOff>114300</xdr:rowOff>
    </xdr:from>
    <xdr:ext cx="2733672" cy="428625"/>
    <xdr:sp macro="" textlink="">
      <xdr:nvSpPr>
        <xdr:cNvPr id="9" name="8 CuadroTexto">
          <a:extLst>
            <a:ext uri="{FF2B5EF4-FFF2-40B4-BE49-F238E27FC236}">
              <a16:creationId xmlns:a16="http://schemas.microsoft.com/office/drawing/2014/main" id="{EFA4F753-A217-46AF-9E48-E9BA6029279C}"/>
            </a:ext>
          </a:extLst>
        </xdr:cNvPr>
        <xdr:cNvSpPr txBox="1"/>
      </xdr:nvSpPr>
      <xdr:spPr>
        <a:xfrm rot="10800000" flipV="1">
          <a:off x="7086600" y="5250180"/>
          <a:ext cx="2733672"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Plataforma</a:t>
          </a:r>
          <a:r>
            <a:rPr lang="es-CO" sz="1100" b="1" i="0" baseline="0">
              <a:solidFill>
                <a:schemeClr val="bg1"/>
              </a:solidFill>
              <a:latin typeface="Helvetica Narrow" pitchFamily="34" charset="0"/>
            </a:rPr>
            <a:t> estretégica de la Entidad</a:t>
          </a:r>
          <a:endParaRPr lang="es-CO" sz="1100" b="1" i="0">
            <a:solidFill>
              <a:schemeClr val="bg1"/>
            </a:solidFill>
            <a:latin typeface="Helvetica Narrow" pitchFamily="34" charset="0"/>
          </a:endParaRPr>
        </a:p>
      </xdr:txBody>
    </xdr:sp>
    <xdr:clientData/>
  </xdr:oneCellAnchor>
  <xdr:twoCellAnchor editAs="oneCell">
    <xdr:from>
      <xdr:col>12</xdr:col>
      <xdr:colOff>666751</xdr:colOff>
      <xdr:row>22</xdr:row>
      <xdr:rowOff>142875</xdr:rowOff>
    </xdr:from>
    <xdr:to>
      <xdr:col>13</xdr:col>
      <xdr:colOff>525780</xdr:colOff>
      <xdr:row>25</xdr:row>
      <xdr:rowOff>148824</xdr:rowOff>
    </xdr:to>
    <xdr:pic>
      <xdr:nvPicPr>
        <xdr:cNvPr id="10" name="Imagen 9">
          <a:hlinkClick xmlns:r="http://schemas.openxmlformats.org/officeDocument/2006/relationships" r:id="rId7"/>
          <a:extLst>
            <a:ext uri="{FF2B5EF4-FFF2-40B4-BE49-F238E27FC236}">
              <a16:creationId xmlns:a16="http://schemas.microsoft.com/office/drawing/2014/main" id="{97B09374-407F-4FF8-8AAB-69B0CB462F0B}"/>
            </a:ext>
          </a:extLst>
        </xdr:cNvPr>
        <xdr:cNvPicPr>
          <a:picLocks noChangeAspect="1"/>
        </xdr:cNvPicPr>
      </xdr:nvPicPr>
      <xdr:blipFill rotWithShape="1">
        <a:blip xmlns:r="http://schemas.openxmlformats.org/officeDocument/2006/relationships" r:embed="rId8"/>
        <a:srcRect l="25175" t="12437" r="25163" b="8278"/>
        <a:stretch/>
      </xdr:blipFill>
      <xdr:spPr>
        <a:xfrm>
          <a:off x="9688831" y="4364355"/>
          <a:ext cx="651509" cy="554589"/>
        </a:xfrm>
        <a:prstGeom prst="rect">
          <a:avLst/>
        </a:prstGeom>
      </xdr:spPr>
    </xdr:pic>
    <xdr:clientData/>
  </xdr:twoCellAnchor>
  <xdr:oneCellAnchor>
    <xdr:from>
      <xdr:col>9</xdr:col>
      <xdr:colOff>419100</xdr:colOff>
      <xdr:row>23</xdr:row>
      <xdr:rowOff>133350</xdr:rowOff>
    </xdr:from>
    <xdr:ext cx="2409825" cy="523875"/>
    <xdr:sp macro="" textlink="">
      <xdr:nvSpPr>
        <xdr:cNvPr id="11" name="8 CuadroTexto">
          <a:extLst>
            <a:ext uri="{FF2B5EF4-FFF2-40B4-BE49-F238E27FC236}">
              <a16:creationId xmlns:a16="http://schemas.microsoft.com/office/drawing/2014/main" id="{830D0930-5982-4EE8-97E9-CEFD0A66D37E}"/>
            </a:ext>
          </a:extLst>
        </xdr:cNvPr>
        <xdr:cNvSpPr txBox="1"/>
      </xdr:nvSpPr>
      <xdr:spPr>
        <a:xfrm rot="10800000" flipV="1">
          <a:off x="7086600" y="4537710"/>
          <a:ext cx="2409825"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VISOR</a:t>
          </a:r>
          <a:r>
            <a:rPr lang="es-CO" sz="1100" b="1" i="0" baseline="0">
              <a:solidFill>
                <a:schemeClr val="bg1"/>
              </a:solidFill>
              <a:latin typeface="Helvetica Narrow" pitchFamily="34" charset="0"/>
            </a:rPr>
            <a:t> DE INDICADORES</a:t>
          </a:r>
          <a:endParaRPr lang="es-CO" sz="1100" b="1" i="0">
            <a:solidFill>
              <a:schemeClr val="bg1"/>
            </a:solidFill>
            <a:latin typeface="Helvetica Narrow"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81579</xdr:colOff>
      <xdr:row>1</xdr:row>
      <xdr:rowOff>89646</xdr:rowOff>
    </xdr:from>
    <xdr:to>
      <xdr:col>2</xdr:col>
      <xdr:colOff>923927</xdr:colOff>
      <xdr:row>4</xdr:row>
      <xdr:rowOff>215152</xdr:rowOff>
    </xdr:to>
    <xdr:pic>
      <xdr:nvPicPr>
        <xdr:cNvPr id="2" name="Imagen 1" descr="Secretaría General | Alcaldía Mayor de Bogotá">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279" y="280146"/>
          <a:ext cx="1825328" cy="925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95250</xdr:colOff>
      <xdr:row>30</xdr:row>
      <xdr:rowOff>26894</xdr:rowOff>
    </xdr:from>
    <xdr:to>
      <xdr:col>11</xdr:col>
      <xdr:colOff>107156</xdr:colOff>
      <xdr:row>38</xdr:row>
      <xdr:rowOff>179293</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21167</xdr:colOff>
      <xdr:row>30</xdr:row>
      <xdr:rowOff>170329</xdr:rowOff>
    </xdr:from>
    <xdr:to>
      <xdr:col>11</xdr:col>
      <xdr:colOff>869576</xdr:colOff>
      <xdr:row>38</xdr:row>
      <xdr:rowOff>134470</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26894</xdr:colOff>
      <xdr:row>29</xdr:row>
      <xdr:rowOff>139326</xdr:rowOff>
    </xdr:from>
    <xdr:to>
      <xdr:col>11</xdr:col>
      <xdr:colOff>891426</xdr:colOff>
      <xdr:row>30</xdr:row>
      <xdr:rowOff>311269</xdr:rowOff>
    </xdr:to>
    <xdr:grpSp>
      <xdr:nvGrpSpPr>
        <xdr:cNvPr id="8" name="Grupo 7">
          <a:extLst>
            <a:ext uri="{FF2B5EF4-FFF2-40B4-BE49-F238E27FC236}">
              <a16:creationId xmlns:a16="http://schemas.microsoft.com/office/drawing/2014/main" id="{00000000-0008-0000-0700-000008000000}"/>
            </a:ext>
          </a:extLst>
        </xdr:cNvPr>
        <xdr:cNvGrpSpPr/>
      </xdr:nvGrpSpPr>
      <xdr:grpSpPr>
        <a:xfrm>
          <a:off x="11752729" y="10421844"/>
          <a:ext cx="864532" cy="351237"/>
          <a:chOff x="11681012" y="8709585"/>
          <a:chExt cx="864532" cy="351237"/>
        </a:xfrm>
      </xdr:grpSpPr>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1815482" y="8827617"/>
            <a:ext cx="534570" cy="2332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chemeClr val="accent6">
                    <a:lumMod val="50000"/>
                  </a:schemeClr>
                </a:solidFill>
              </a:rPr>
              <a:t>Avance</a:t>
            </a:r>
          </a:p>
        </xdr:txBody>
      </xdr: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1681012" y="8709585"/>
            <a:ext cx="864532" cy="2332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rgbClr val="C00000"/>
                </a:solidFill>
              </a:rPr>
              <a:t>Cumplimiento</a:t>
            </a:r>
          </a:p>
        </xdr:txBody>
      </xdr:sp>
    </xdr:grpSp>
    <xdr:clientData/>
  </xdr:twoCellAnchor>
  <xdr:twoCellAnchor editAs="oneCell">
    <xdr:from>
      <xdr:col>10</xdr:col>
      <xdr:colOff>98612</xdr:colOff>
      <xdr:row>1</xdr:row>
      <xdr:rowOff>80682</xdr:rowOff>
    </xdr:from>
    <xdr:to>
      <xdr:col>10</xdr:col>
      <xdr:colOff>931829</xdr:colOff>
      <xdr:row>4</xdr:row>
      <xdr:rowOff>89647</xdr:rowOff>
    </xdr:to>
    <xdr:pic>
      <xdr:nvPicPr>
        <xdr:cNvPr id="9" name="Imagen 8" descr="home icon">
          <a:hlinkClick xmlns:r="http://schemas.openxmlformats.org/officeDocument/2006/relationships" r:id="rId4"/>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596283" y="268941"/>
          <a:ext cx="833217" cy="815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1165411</xdr:colOff>
      <xdr:row>1</xdr:row>
      <xdr:rowOff>191647</xdr:rowOff>
    </xdr:from>
    <xdr:ext cx="706867" cy="692272"/>
    <xdr:pic>
      <xdr:nvPicPr>
        <xdr:cNvPr id="10" name="Imagen 9" descr="business, find, lupa, magnifying glass, mercadolibre, seo, zoom icon">
          <a:hlinkClick xmlns:r="http://schemas.openxmlformats.org/officeDocument/2006/relationships" r:id="rId6"/>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663082" y="379906"/>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48490</xdr:colOff>
      <xdr:row>12</xdr:row>
      <xdr:rowOff>55171</xdr:rowOff>
    </xdr:from>
    <xdr:to>
      <xdr:col>15</xdr:col>
      <xdr:colOff>27709</xdr:colOff>
      <xdr:row>48</xdr:row>
      <xdr:rowOff>166255</xdr:rowOff>
    </xdr:to>
    <xdr:grpSp>
      <xdr:nvGrpSpPr>
        <xdr:cNvPr id="2" name="Grupo 1">
          <a:extLst>
            <a:ext uri="{FF2B5EF4-FFF2-40B4-BE49-F238E27FC236}">
              <a16:creationId xmlns:a16="http://schemas.microsoft.com/office/drawing/2014/main" id="{D32B6E7C-08AF-4D41-9E8B-A403E0762886}"/>
            </a:ext>
          </a:extLst>
        </xdr:cNvPr>
        <xdr:cNvGrpSpPr/>
      </xdr:nvGrpSpPr>
      <xdr:grpSpPr>
        <a:xfrm>
          <a:off x="835890" y="2366571"/>
          <a:ext cx="14000019" cy="6511884"/>
          <a:chOff x="380999" y="3456214"/>
          <a:chExt cx="11062608" cy="5864680"/>
        </a:xfrm>
      </xdr:grpSpPr>
      <xdr:pic>
        <xdr:nvPicPr>
          <xdr:cNvPr id="3" name="Imagen 2">
            <a:extLst>
              <a:ext uri="{FF2B5EF4-FFF2-40B4-BE49-F238E27FC236}">
                <a16:creationId xmlns:a16="http://schemas.microsoft.com/office/drawing/2014/main" id="{ED280214-C2E9-4606-8C70-87B52DE8910F}"/>
              </a:ext>
            </a:extLst>
          </xdr:cNvPr>
          <xdr:cNvPicPr>
            <a:picLocks noChangeAspect="1"/>
          </xdr:cNvPicPr>
        </xdr:nvPicPr>
        <xdr:blipFill rotWithShape="1">
          <a:blip xmlns:r="http://schemas.openxmlformats.org/officeDocument/2006/relationships" r:embed="rId1"/>
          <a:srcRect l="35942" t="26093" r="43520" b="13772"/>
          <a:stretch/>
        </xdr:blipFill>
        <xdr:spPr>
          <a:xfrm>
            <a:off x="380999" y="3456214"/>
            <a:ext cx="2503715" cy="5864680"/>
          </a:xfrm>
          <a:prstGeom prst="rect">
            <a:avLst/>
          </a:prstGeom>
          <a:ln w="28575">
            <a:solidFill>
              <a:schemeClr val="tx1"/>
            </a:solidFill>
          </a:ln>
        </xdr:spPr>
      </xdr:pic>
      <xdr:pic>
        <xdr:nvPicPr>
          <xdr:cNvPr id="4" name="Imagen 3">
            <a:extLst>
              <a:ext uri="{FF2B5EF4-FFF2-40B4-BE49-F238E27FC236}">
                <a16:creationId xmlns:a16="http://schemas.microsoft.com/office/drawing/2014/main" id="{7E20F043-4CB7-43C2-A207-DC0C6A40F560}"/>
              </a:ext>
            </a:extLst>
          </xdr:cNvPr>
          <xdr:cNvPicPr>
            <a:picLocks noChangeAspect="1"/>
          </xdr:cNvPicPr>
        </xdr:nvPicPr>
        <xdr:blipFill rotWithShape="1">
          <a:blip xmlns:r="http://schemas.openxmlformats.org/officeDocument/2006/relationships" r:embed="rId2"/>
          <a:srcRect l="11944" t="30556" r="13940" b="9448"/>
          <a:stretch/>
        </xdr:blipFill>
        <xdr:spPr>
          <a:xfrm>
            <a:off x="2857500" y="3456215"/>
            <a:ext cx="8586107" cy="5851072"/>
          </a:xfrm>
          <a:prstGeom prst="rect">
            <a:avLst/>
          </a:prstGeom>
          <a:ln w="28575">
            <a:solidFill>
              <a:schemeClr val="tx1"/>
            </a:solidFill>
          </a:ln>
        </xdr:spPr>
      </xdr:pic>
    </xdr:grpSp>
    <xdr:clientData/>
  </xdr:twoCellAnchor>
  <xdr:twoCellAnchor editAs="oneCell">
    <xdr:from>
      <xdr:col>0</xdr:col>
      <xdr:colOff>761367</xdr:colOff>
      <xdr:row>2</xdr:row>
      <xdr:rowOff>193471</xdr:rowOff>
    </xdr:from>
    <xdr:to>
      <xdr:col>4</xdr:col>
      <xdr:colOff>64174</xdr:colOff>
      <xdr:row>11</xdr:row>
      <xdr:rowOff>1</xdr:rowOff>
    </xdr:to>
    <xdr:pic>
      <xdr:nvPicPr>
        <xdr:cNvPr id="5" name="Imagen 4">
          <a:extLst>
            <a:ext uri="{FF2B5EF4-FFF2-40B4-BE49-F238E27FC236}">
              <a16:creationId xmlns:a16="http://schemas.microsoft.com/office/drawing/2014/main" id="{8F46D186-D0E7-4FA7-9294-67D29CE8C47A}"/>
            </a:ext>
          </a:extLst>
        </xdr:cNvPr>
        <xdr:cNvPicPr>
          <a:picLocks noChangeAspect="1"/>
        </xdr:cNvPicPr>
      </xdr:nvPicPr>
      <xdr:blipFill rotWithShape="1">
        <a:blip xmlns:r="http://schemas.openxmlformats.org/officeDocument/2006/relationships" r:embed="rId1"/>
        <a:srcRect l="35942" t="57625" r="43520" b="13773"/>
        <a:stretch/>
      </xdr:blipFill>
      <xdr:spPr>
        <a:xfrm>
          <a:off x="761367" y="706089"/>
          <a:ext cx="2461643" cy="1455221"/>
        </a:xfrm>
        <a:prstGeom prst="rect">
          <a:avLst/>
        </a:prstGeom>
      </xdr:spPr>
    </xdr:pic>
    <xdr:clientData/>
  </xdr:twoCellAnchor>
  <xdr:oneCellAnchor>
    <xdr:from>
      <xdr:col>1</xdr:col>
      <xdr:colOff>148581</xdr:colOff>
      <xdr:row>5</xdr:row>
      <xdr:rowOff>0</xdr:rowOff>
    </xdr:from>
    <xdr:ext cx="2341526" cy="756874"/>
    <xdr:sp macro="" textlink="">
      <xdr:nvSpPr>
        <xdr:cNvPr id="6" name="Rectángulo 5">
          <a:extLst>
            <a:ext uri="{FF2B5EF4-FFF2-40B4-BE49-F238E27FC236}">
              <a16:creationId xmlns:a16="http://schemas.microsoft.com/office/drawing/2014/main" id="{77748152-44F7-418C-B500-CD2746CAA2B5}"/>
            </a:ext>
          </a:extLst>
        </xdr:cNvPr>
        <xdr:cNvSpPr/>
      </xdr:nvSpPr>
      <xdr:spPr>
        <a:xfrm rot="952633">
          <a:off x="537201" y="1234440"/>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MISIÓN</a:t>
          </a:r>
        </a:p>
      </xdr:txBody>
    </xdr:sp>
    <xdr:clientData/>
  </xdr:oneCellAnchor>
  <xdr:twoCellAnchor editAs="oneCell">
    <xdr:from>
      <xdr:col>8</xdr:col>
      <xdr:colOff>10545</xdr:colOff>
      <xdr:row>3</xdr:row>
      <xdr:rowOff>11908</xdr:rowOff>
    </xdr:from>
    <xdr:to>
      <xdr:col>11</xdr:col>
      <xdr:colOff>13856</xdr:colOff>
      <xdr:row>11</xdr:row>
      <xdr:rowOff>1</xdr:rowOff>
    </xdr:to>
    <xdr:pic>
      <xdr:nvPicPr>
        <xdr:cNvPr id="7" name="Imagen 6">
          <a:extLst>
            <a:ext uri="{FF2B5EF4-FFF2-40B4-BE49-F238E27FC236}">
              <a16:creationId xmlns:a16="http://schemas.microsoft.com/office/drawing/2014/main" id="{83221632-90F7-4821-9E70-48EB652BF66F}"/>
            </a:ext>
          </a:extLst>
        </xdr:cNvPr>
        <xdr:cNvPicPr>
          <a:picLocks noChangeAspect="1"/>
        </xdr:cNvPicPr>
      </xdr:nvPicPr>
      <xdr:blipFill rotWithShape="1">
        <a:blip xmlns:r="http://schemas.openxmlformats.org/officeDocument/2006/relationships" r:embed="rId1"/>
        <a:srcRect l="35942" t="57625" r="43520" b="13773"/>
        <a:stretch/>
      </xdr:blipFill>
      <xdr:spPr>
        <a:xfrm>
          <a:off x="7602836" y="718490"/>
          <a:ext cx="2372438" cy="1442820"/>
        </a:xfrm>
        <a:prstGeom prst="rect">
          <a:avLst/>
        </a:prstGeom>
      </xdr:spPr>
    </xdr:pic>
    <xdr:clientData/>
  </xdr:twoCellAnchor>
  <xdr:oneCellAnchor>
    <xdr:from>
      <xdr:col>8</xdr:col>
      <xdr:colOff>26352</xdr:colOff>
      <xdr:row>4</xdr:row>
      <xdr:rowOff>166253</xdr:rowOff>
    </xdr:from>
    <xdr:ext cx="2341526" cy="756874"/>
    <xdr:sp macro="" textlink="">
      <xdr:nvSpPr>
        <xdr:cNvPr id="8" name="Rectángulo 7">
          <a:extLst>
            <a:ext uri="{FF2B5EF4-FFF2-40B4-BE49-F238E27FC236}">
              <a16:creationId xmlns:a16="http://schemas.microsoft.com/office/drawing/2014/main" id="{03F1CC05-6617-43E9-92AE-8CBEED50DF78}"/>
            </a:ext>
          </a:extLst>
        </xdr:cNvPr>
        <xdr:cNvSpPr/>
      </xdr:nvSpPr>
      <xdr:spPr>
        <a:xfrm rot="952633">
          <a:off x="7618643" y="1052944"/>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VISIÓN</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279351</xdr:colOff>
      <xdr:row>0</xdr:row>
      <xdr:rowOff>134891</xdr:rowOff>
    </xdr:from>
    <xdr:to>
      <xdr:col>15</xdr:col>
      <xdr:colOff>212361</xdr:colOff>
      <xdr:row>58</xdr:row>
      <xdr:rowOff>34391</xdr:rowOff>
    </xdr:to>
    <xdr:pic>
      <xdr:nvPicPr>
        <xdr:cNvPr id="2" name="Imagen 1">
          <a:extLst>
            <a:ext uri="{FF2B5EF4-FFF2-40B4-BE49-F238E27FC236}">
              <a16:creationId xmlns:a16="http://schemas.microsoft.com/office/drawing/2014/main" id="{E0A0C331-6A0B-4381-8826-A186AE6808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604"/>
        <a:stretch/>
      </xdr:blipFill>
      <xdr:spPr>
        <a:xfrm>
          <a:off x="279351" y="134891"/>
          <a:ext cx="11778646" cy="10553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289560</xdr:colOff>
      <xdr:row>0</xdr:row>
      <xdr:rowOff>75657</xdr:rowOff>
    </xdr:from>
    <xdr:to>
      <xdr:col>6</xdr:col>
      <xdr:colOff>1122777</xdr:colOff>
      <xdr:row>3</xdr:row>
      <xdr:rowOff>180880</xdr:rowOff>
    </xdr:to>
    <xdr:pic>
      <xdr:nvPicPr>
        <xdr:cNvPr id="2" name="Imagen 1" descr="home icon">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6703" y="75657"/>
          <a:ext cx="833217" cy="84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36306</xdr:colOff>
      <xdr:row>0</xdr:row>
      <xdr:rowOff>154288</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80556" y="154288"/>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1048871</xdr:colOff>
      <xdr:row>0</xdr:row>
      <xdr:rowOff>134977</xdr:rowOff>
    </xdr:from>
    <xdr:to>
      <xdr:col>7</xdr:col>
      <xdr:colOff>1761566</xdr:colOff>
      <xdr:row>3</xdr:row>
      <xdr:rowOff>131085</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3121" y="134977"/>
          <a:ext cx="712695" cy="730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289560</xdr:colOff>
      <xdr:row>0</xdr:row>
      <xdr:rowOff>71303</xdr:rowOff>
    </xdr:from>
    <xdr:to>
      <xdr:col>7</xdr:col>
      <xdr:colOff>1122777</xdr:colOff>
      <xdr:row>3</xdr:row>
      <xdr:rowOff>176526</xdr:rowOff>
    </xdr:to>
    <xdr:pic>
      <xdr:nvPicPr>
        <xdr:cNvPr id="2" name="Imagen 1" descr="home icon">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1524" y="71303"/>
          <a:ext cx="833217" cy="84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36306</xdr:colOff>
      <xdr:row>0</xdr:row>
      <xdr:rowOff>149934</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745377" y="149934"/>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1048871</xdr:colOff>
      <xdr:row>0</xdr:row>
      <xdr:rowOff>130623</xdr:rowOff>
    </xdr:from>
    <xdr:to>
      <xdr:col>8</xdr:col>
      <xdr:colOff>1761566</xdr:colOff>
      <xdr:row>3</xdr:row>
      <xdr:rowOff>126731</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57942" y="130623"/>
          <a:ext cx="712695" cy="730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297180</xdr:colOff>
      <xdr:row>0</xdr:row>
      <xdr:rowOff>55518</xdr:rowOff>
    </xdr:from>
    <xdr:to>
      <xdr:col>7</xdr:col>
      <xdr:colOff>1130397</xdr:colOff>
      <xdr:row>3</xdr:row>
      <xdr:rowOff>170266</xdr:rowOff>
    </xdr:to>
    <xdr:pic>
      <xdr:nvPicPr>
        <xdr:cNvPr id="2" name="Imagen 1" descr="home icon">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40144" y="55518"/>
          <a:ext cx="833217" cy="849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66457</xdr:colOff>
      <xdr:row>0</xdr:row>
      <xdr:rowOff>134149</xdr:rowOff>
    </xdr:from>
    <xdr:ext cx="706867" cy="692272"/>
    <xdr:pic>
      <xdr:nvPicPr>
        <xdr:cNvPr id="3" name="Imagen 2" descr="business, find, lupa, magnifying glass, mercadolibre, seo, zoom icon">
          <a:hlinkClick xmlns:r="http://schemas.openxmlformats.org/officeDocument/2006/relationships" r:id="rId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56528" y="134149"/>
          <a:ext cx="706867" cy="6922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1056491</xdr:colOff>
      <xdr:row>0</xdr:row>
      <xdr:rowOff>114838</xdr:rowOff>
    </xdr:from>
    <xdr:to>
      <xdr:col>8</xdr:col>
      <xdr:colOff>1769186</xdr:colOff>
      <xdr:row>3</xdr:row>
      <xdr:rowOff>110946</xdr:rowOff>
    </xdr:to>
    <xdr:pic>
      <xdr:nvPicPr>
        <xdr:cNvPr id="4" name="Imagen 3" descr="feet, footprint, footwear, shoe, shoe prints icon">
          <a:hlinkClick xmlns:r="http://schemas.openxmlformats.org/officeDocument/2006/relationships" r:id="rId5"/>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146562" y="114838"/>
          <a:ext cx="712695" cy="730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MILIA%20BARRETO\Downloads\Validaci&#243;n%20ACDVPR%202020-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MILIA%20BARRETO\Downloads\Validaci&#243;n%20DDI_SDI%202020-0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drea\Downloads\Formulaci&#243;n%20de%20indicadores%20de%20procesos%202020%20DA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Alcald&#237;a%20de%20Bogot&#225;\2020\Equipo%20Dise&#241;o%20y%20Monitoreo\Para%20base%20PAI\2020%20BD%20Planeaci&#243;n%20y%20seguimiento%20a%20indicadores%20de%20gest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ción"/>
      <sheetName val="Hoja2"/>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sheetName val="Listas"/>
      <sheetName val="Sugerencias"/>
      <sheetName val="RepConsolidado"/>
      <sheetName val="BD_Actividades"/>
      <sheetName val="BD_metas"/>
      <sheetName val="HV_indicador"/>
      <sheetName val="Ficha_ID"/>
      <sheetName val="PAAC"/>
      <sheetName val="Oficinas"/>
      <sheetName val="Consejerías"/>
      <sheetName val="Sub. Técnica"/>
      <sheetName val="Ciudadano"/>
      <sheetName val="Corporativa"/>
      <sheetName val="ﾋ譕菬೬噓_xdb33_喉㋸"/>
      <sheetName val=""/>
      <sheetName val="Hoja1"/>
    </sheetNames>
    <sheetDataSet>
      <sheetData sheetId="0"/>
      <sheetData sheetId="1">
        <row r="3">
          <cell r="A3" t="str">
            <v>DEPENDENCIA</v>
          </cell>
        </row>
      </sheetData>
      <sheetData sheetId="2"/>
      <sheetData sheetId="3">
        <row r="5">
          <cell r="A5" t="str">
            <v>ID</v>
          </cell>
        </row>
      </sheetData>
      <sheetData sheetId="4"/>
      <sheetData sheetId="5">
        <row r="5">
          <cell r="A5" t="str">
            <v>ID_GRAL</v>
          </cell>
          <cell r="B5" t="str">
            <v>Código Proyecto de Inversión</v>
          </cell>
          <cell r="C5" t="str">
            <v>Nombre Proyecto de inversión</v>
          </cell>
          <cell r="D5" t="str">
            <v>ID_META SEGPLAN</v>
          </cell>
          <cell r="E5" t="str">
            <v>ID_PROY_META</v>
          </cell>
          <cell r="F5" t="str">
            <v>META</v>
          </cell>
          <cell r="G5" t="str">
            <v>PILAR</v>
          </cell>
          <cell r="H5" t="str">
            <v>PROGRAMA</v>
          </cell>
          <cell r="I5" t="str">
            <v>Nombre del Plan de Desarrollo</v>
          </cell>
          <cell r="J5" t="str">
            <v>Área o dependencia</v>
          </cell>
          <cell r="K5" t="str">
            <v>Cargo del responsable</v>
          </cell>
          <cell r="L5" t="str">
            <v>Nombre del responsable</v>
          </cell>
          <cell r="M5" t="str">
            <v>Perspectiva Estratégica</v>
          </cell>
          <cell r="N5" t="str">
            <v>Objetivo Estratégico</v>
          </cell>
          <cell r="O5" t="str">
            <v>Acción Estratégica</v>
          </cell>
          <cell r="P5" t="str">
            <v>META V1</v>
          </cell>
          <cell r="Q5" t="str">
            <v>Nombre del Indicador</v>
          </cell>
          <cell r="R5" t="str">
            <v>Descripción del Indicador</v>
          </cell>
          <cell r="S5" t="str">
            <v>Fórmula del indicador</v>
          </cell>
          <cell r="T5" t="str">
            <v>Variable 1</v>
          </cell>
          <cell r="U5" t="str">
            <v>Variable 2</v>
          </cell>
          <cell r="V5" t="str">
            <v>Producto</v>
          </cell>
          <cell r="W5" t="str">
            <v>Tendencia anual esperada V1</v>
          </cell>
          <cell r="X5" t="str">
            <v>Tendencia Anual</v>
          </cell>
          <cell r="Y5" t="str">
            <v>Actividades</v>
          </cell>
          <cell r="Z5" t="str">
            <v>Beneficios, Efectos o Impactos Esperados</v>
          </cell>
          <cell r="AA5" t="str">
            <v>Fuentes de información verificable</v>
          </cell>
          <cell r="AB5" t="str">
            <v>Unidad de medida</v>
          </cell>
          <cell r="AC5" t="str">
            <v>Dimensión del indicador</v>
          </cell>
          <cell r="AD5" t="str">
            <v>Tipo de indicador</v>
          </cell>
          <cell r="AE5" t="str">
            <v>FECHA DE CREACIÓN</v>
          </cell>
          <cell r="AF5" t="str">
            <v>Dato Línea base</v>
          </cell>
          <cell r="AG5" t="str">
            <v>Año línea base</v>
          </cell>
          <cell r="AH5" t="str">
            <v>TOTAL META 2016</v>
          </cell>
          <cell r="AI5" t="str">
            <v>TOTAL META 2017</v>
          </cell>
          <cell r="AJ5" t="str">
            <v>TOTAL META 2018</v>
          </cell>
          <cell r="AK5" t="str">
            <v>TOTAL META 2019</v>
          </cell>
          <cell r="AL5" t="str">
            <v>TOTAL META 2020</v>
          </cell>
          <cell r="AM5" t="str">
            <v>TOTAL META PLURIANUAL A 2020</v>
          </cell>
          <cell r="AN5" t="str">
            <v>Meta 2016 Inicial según segplan</v>
          </cell>
          <cell r="AO5" t="str">
            <v>Meta 2017 Inicial según segplan</v>
          </cell>
          <cell r="AP5" t="str">
            <v>Meta 2018 Inicial según segplan</v>
          </cell>
          <cell r="AQ5" t="str">
            <v>Meta 2019 Inicial según segplan</v>
          </cell>
          <cell r="AR5" t="str">
            <v>Meta 2020 Inicial según segplan</v>
          </cell>
          <cell r="AS5" t="str">
            <v>Meta Cuatrienio Inicial según segplan</v>
          </cell>
          <cell r="AT5" t="str">
            <v>Meta 2016</v>
          </cell>
          <cell r="AU5" t="str">
            <v>Meta 2017</v>
          </cell>
          <cell r="AV5" t="str">
            <v>Meta 2018</v>
          </cell>
          <cell r="AW5" t="str">
            <v>Meta 2019</v>
          </cell>
          <cell r="AX5" t="str">
            <v>Meta 2020</v>
          </cell>
          <cell r="AY5" t="str">
            <v>Meta Cuatrienio</v>
          </cell>
          <cell r="AZ5" t="str">
            <v>Ejecución 2016</v>
          </cell>
          <cell r="BA5" t="str">
            <v>Ejecución 2017</v>
          </cell>
          <cell r="BB5" t="str">
            <v>Ejecución 2018</v>
          </cell>
          <cell r="BC5" t="str">
            <v>Ejecución 2019</v>
          </cell>
          <cell r="BD5" t="str">
            <v>Ejecución 2020</v>
          </cell>
          <cell r="BE5" t="str">
            <v>Ejecución Cuatrienio</v>
          </cell>
          <cell r="BF5" t="str">
            <v>Avance 2016</v>
          </cell>
          <cell r="BG5" t="str">
            <v>Avance 2017</v>
          </cell>
          <cell r="BH5" t="str">
            <v>Avance 2018</v>
          </cell>
          <cell r="BI5" t="str">
            <v>Avance 2019</v>
          </cell>
          <cell r="BJ5" t="str">
            <v>Avance 2020</v>
          </cell>
          <cell r="BK5" t="str">
            <v>Apropiación 2016</v>
          </cell>
          <cell r="BL5" t="str">
            <v>Apropiación 2017</v>
          </cell>
          <cell r="BM5" t="str">
            <v>Apropiación 2018</v>
          </cell>
          <cell r="BN5" t="str">
            <v>Apropiación 2019</v>
          </cell>
          <cell r="BO5" t="str">
            <v>Apropiación 2020</v>
          </cell>
          <cell r="BP5" t="str">
            <v>Apropiación Cuatrienio</v>
          </cell>
          <cell r="BQ5" t="str">
            <v>Compromisos 2016</v>
          </cell>
          <cell r="BR5" t="str">
            <v>Compromisos 2017</v>
          </cell>
          <cell r="BS5" t="str">
            <v>Compromisos 2018</v>
          </cell>
          <cell r="BT5" t="str">
            <v>Compromisos 2019</v>
          </cell>
          <cell r="BU5" t="str">
            <v>Compromisos 2020</v>
          </cell>
          <cell r="BV5" t="str">
            <v>Compromisos Cuatrienio</v>
          </cell>
          <cell r="BW5" t="str">
            <v xml:space="preserve">Plan de Desarrollo - Meta Resultado, </v>
          </cell>
          <cell r="BX5" t="str">
            <v xml:space="preserve">Plan de Desarrollo - Meta Producto, </v>
          </cell>
          <cell r="BY5" t="str">
            <v xml:space="preserve">Plan Estratégico Institucional, </v>
          </cell>
          <cell r="BZ5" t="str">
            <v xml:space="preserve">Plan de Acción, </v>
          </cell>
          <cell r="CA5" t="str">
            <v xml:space="preserve">Proyecto de inversión: </v>
          </cell>
          <cell r="CB5" t="str">
            <v>CODIGO DEL PROYECTO</v>
          </cell>
          <cell r="CC5" t="str">
            <v>Nombre Proyecto de inversión</v>
          </cell>
          <cell r="CD5" t="str">
            <v xml:space="preserve">SGC, </v>
          </cell>
          <cell r="CE5" t="str">
            <v xml:space="preserve">PROCESO: </v>
          </cell>
          <cell r="CF5" t="str">
            <v xml:space="preserve">PAAC, </v>
          </cell>
          <cell r="CG5" t="str">
            <v xml:space="preserve">Componente PAAC, </v>
          </cell>
          <cell r="CH5" t="str">
            <v xml:space="preserve">PMR, </v>
          </cell>
          <cell r="CI5" t="str">
            <v xml:space="preserve">PIGA, </v>
          </cell>
          <cell r="CJ5" t="str">
            <v xml:space="preserve">MUJER, </v>
          </cell>
          <cell r="CK5" t="str">
            <v xml:space="preserve">LGBTI, </v>
          </cell>
          <cell r="CL5" t="str">
            <v xml:space="preserve">PINAR, </v>
          </cell>
          <cell r="CM5" t="str">
            <v xml:space="preserve">PLAN ANUAL DE ADQUISICIONES
PAA, </v>
          </cell>
          <cell r="CN5" t="str">
            <v xml:space="preserve">PLAN ANUAL DE VACANTES, </v>
          </cell>
          <cell r="CO5" t="str">
            <v>PLAN DE PREVISIÓN DE RECURSOS HUMANOS,</v>
          </cell>
          <cell r="CP5" t="str">
            <v xml:space="preserve">PLAN ESTRATÉGICO DE TALENTO HUMANO, </v>
          </cell>
          <cell r="CQ5" t="str">
            <v xml:space="preserve">PLAN INSTITUCIONAL DE CAPACITACIÓN, </v>
          </cell>
          <cell r="CR5" t="str">
            <v xml:space="preserve">PLAN DE INCENTIVOS INSTITUCIONALES, </v>
          </cell>
          <cell r="CS5" t="str">
            <v xml:space="preserve">PLAN DE TRABAJO ANUAL EN SEGURIDAD Y SALUD EN EL TRABAJO, </v>
          </cell>
          <cell r="CT5" t="str">
            <v xml:space="preserve">PLAN ESTRATÉGICO DE TECNOLOGÍAS DE INFORMACIÓN Y LAS COMUNICACIONES (PETI), </v>
          </cell>
          <cell r="CU5" t="str">
            <v>PLAN DE TRATAMIENTO DE RIESGOS  DE SEGURIDAD Y PRIVACIDAD DE LA INFORMACIÓN,</v>
          </cell>
          <cell r="CV5" t="str">
            <v>PLAN DE SEGURIDAD Y PRIVACIDAD DE LA INFORMACIÓN,</v>
          </cell>
          <cell r="CW5" t="str">
            <v>CONPES
(Número del Documento CONPES_ID),</v>
          </cell>
          <cell r="CX5" t="str">
            <v xml:space="preserve">OPORTUNIDAD contexto estrategico: </v>
          </cell>
          <cell r="CY5" t="str">
            <v xml:space="preserve">ODS, </v>
          </cell>
          <cell r="CZ5" t="str">
            <v xml:space="preserve">X, </v>
          </cell>
          <cell r="DA5" t="str">
            <v>Y,</v>
          </cell>
          <cell r="DB5" t="str">
            <v>Registrado en</v>
          </cell>
        </row>
      </sheetData>
      <sheetData sheetId="6"/>
      <sheetData sheetId="7"/>
      <sheetData sheetId="8">
        <row r="9">
          <cell r="C9" t="str">
            <v>ID_Indicador</v>
          </cell>
        </row>
      </sheetData>
      <sheetData sheetId="9">
        <row r="9">
          <cell r="D9" t="str">
            <v>ID_Indicador</v>
          </cell>
        </row>
      </sheetData>
      <sheetData sheetId="10">
        <row r="9">
          <cell r="D9" t="str">
            <v>ID_Indicador</v>
          </cell>
        </row>
      </sheetData>
      <sheetData sheetId="11">
        <row r="9">
          <cell r="D9" t="str">
            <v>ID_Indicador</v>
          </cell>
        </row>
      </sheetData>
      <sheetData sheetId="12">
        <row r="9">
          <cell r="D9" t="str">
            <v>ID_Indicador</v>
          </cell>
        </row>
      </sheetData>
      <sheetData sheetId="13">
        <row r="9">
          <cell r="D9" t="str">
            <v>ID_Indicador</v>
          </cell>
        </row>
      </sheetData>
      <sheetData sheetId="14" refreshError="1"/>
      <sheetData sheetId="15" refreshError="1"/>
      <sheetData sheetId="1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D46" totalsRowShown="0" headerRowDxfId="7" headerRowBorderDxfId="6" tableBorderDxfId="5">
  <autoFilter ref="A1:AD46" xr:uid="{00000000-0009-0000-0100-000001000000}"/>
  <tableColumns count="30">
    <tableColumn id="1" xr3:uid="{00000000-0010-0000-0000-000001000000}" name="#Memorando /Correo Entrada"/>
    <tableColumn id="2" xr3:uid="{00000000-0010-0000-0000-000002000000}" name="# Memorando/Correo Salida"/>
    <tableColumn id="3" xr3:uid="{00000000-0010-0000-0000-000003000000}" name="Fecha Memo / Correo Entrada" dataDxfId="4"/>
    <tableColumn id="4" xr3:uid="{00000000-0010-0000-0000-000004000000}" name="Fecha Memo / Correo salida" dataDxfId="3"/>
    <tableColumn id="5" xr3:uid="{00000000-0010-0000-0000-000005000000}" name="Responsable OAP del Cambio"/>
    <tableColumn id="6" xr3:uid="{00000000-0010-0000-0000-000006000000}" name="Fecha VoBo" dataDxfId="2"/>
    <tableColumn id="7" xr3:uid="{00000000-0010-0000-0000-000007000000}" name="Id_Indicador"/>
    <tableColumn id="8" xr3:uid="{00000000-0010-0000-0000-000008000000}" name="Dependencia"/>
    <tableColumn id="9" xr3:uid="{00000000-0010-0000-0000-000009000000}" name="Memo+ID" dataDxfId="1">
      <calculatedColumnFormula>CONCATENATE(Tabla1[[#This Row],['#Memorando /Correo Entrada]],"_",Tabla1[[#This Row],[Id_Indicador]])</calculatedColumnFormula>
    </tableColumn>
    <tableColumn id="10" xr3:uid="{00000000-0010-0000-0000-00000A000000}" name="Tipo de cambio1"/>
    <tableColumn id="11" xr3:uid="{00000000-0010-0000-0000-00000B000000}" name="C1_V"/>
    <tableColumn id="12" xr3:uid="{00000000-0010-0000-0000-00000C000000}" name="C1_N"/>
    <tableColumn id="13" xr3:uid="{00000000-0010-0000-0000-00000D000000}" name="Observación"/>
    <tableColumn id="14" xr3:uid="{00000000-0010-0000-0000-00000E000000}" name="Tipo de cambio2"/>
    <tableColumn id="15" xr3:uid="{00000000-0010-0000-0000-00000F000000}" name="C2_V"/>
    <tableColumn id="16" xr3:uid="{00000000-0010-0000-0000-000010000000}" name="C2_N"/>
    <tableColumn id="17" xr3:uid="{00000000-0010-0000-0000-000011000000}" name="Observación2"/>
    <tableColumn id="18" xr3:uid="{00000000-0010-0000-0000-000012000000}" name="Tipo de cambio3"/>
    <tableColumn id="19" xr3:uid="{00000000-0010-0000-0000-000013000000}" name="C3_V"/>
    <tableColumn id="20" xr3:uid="{00000000-0010-0000-0000-000014000000}" name="C3_N"/>
    <tableColumn id="21" xr3:uid="{00000000-0010-0000-0000-000015000000}" name="Observación3"/>
    <tableColumn id="22" xr3:uid="{00000000-0010-0000-0000-000016000000}" name="Tipo de cambio4"/>
    <tableColumn id="23" xr3:uid="{00000000-0010-0000-0000-000017000000}" name="C4_V"/>
    <tableColumn id="24" xr3:uid="{00000000-0010-0000-0000-000018000000}" name="C4_N"/>
    <tableColumn id="29" xr3:uid="{00000000-0010-0000-0000-00001D000000}" name="Observación4"/>
    <tableColumn id="25" xr3:uid="{00000000-0010-0000-0000-000019000000}" name="Tipo de cambio5"/>
    <tableColumn id="26" xr3:uid="{00000000-0010-0000-0000-00001A000000}" name="C5_V"/>
    <tableColumn id="27" xr3:uid="{00000000-0010-0000-0000-00001B000000}" name="C5_N"/>
    <tableColumn id="30" xr3:uid="{00000000-0010-0000-0000-00001E000000}" name="Observación5"/>
    <tableColumn id="28" xr3:uid="{00000000-0010-0000-0000-00001C000000}" name="Fecha Solución" dataDxfId="0"/>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aware.tips/bebidascolombia/"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8"/>
  <sheetViews>
    <sheetView showGridLines="0" zoomScale="55" zoomScaleNormal="55" workbookViewId="0">
      <selection activeCell="K9" sqref="K9"/>
    </sheetView>
  </sheetViews>
  <sheetFormatPr baseColWidth="10" defaultColWidth="0" defaultRowHeight="14.4" zeroHeight="1" x14ac:dyDescent="0.3"/>
  <cols>
    <col min="1" max="2" width="14.33203125" customWidth="1"/>
    <col min="3" max="3" width="15.88671875" customWidth="1"/>
    <col min="4" max="4" width="14.33203125" customWidth="1"/>
    <col min="5" max="5" width="21" customWidth="1"/>
    <col min="6" max="10" width="17.33203125" customWidth="1"/>
    <col min="11" max="11" width="14.33203125" customWidth="1"/>
    <col min="12" max="12" width="7.109375" customWidth="1"/>
    <col min="13" max="16384" width="11.5546875" hidden="1"/>
  </cols>
  <sheetData>
    <row r="1" spans="1:11" ht="15" thickBot="1" x14ac:dyDescent="0.35"/>
    <row r="2" spans="1:11" ht="21" x14ac:dyDescent="0.3">
      <c r="A2" s="454"/>
      <c r="B2" s="455"/>
      <c r="C2" s="460" t="s">
        <v>0</v>
      </c>
      <c r="D2" s="461"/>
      <c r="E2" s="461"/>
      <c r="F2" s="461"/>
      <c r="G2" s="461"/>
      <c r="H2" s="461"/>
      <c r="I2" s="461"/>
      <c r="J2" s="461"/>
      <c r="K2" s="462"/>
    </row>
    <row r="3" spans="1:11" ht="21" x14ac:dyDescent="0.3">
      <c r="A3" s="456"/>
      <c r="B3" s="457"/>
      <c r="C3" s="463" t="s">
        <v>1</v>
      </c>
      <c r="D3" s="464"/>
      <c r="E3" s="464"/>
      <c r="F3" s="464"/>
      <c r="G3" s="464"/>
      <c r="H3" s="464"/>
      <c r="I3" s="464"/>
      <c r="J3" s="464"/>
      <c r="K3" s="465"/>
    </row>
    <row r="4" spans="1:11" ht="21" x14ac:dyDescent="0.3">
      <c r="A4" s="456"/>
      <c r="B4" s="457"/>
      <c r="C4" s="463" t="s">
        <v>2</v>
      </c>
      <c r="D4" s="464"/>
      <c r="E4" s="464"/>
      <c r="F4" s="464"/>
      <c r="G4" s="464"/>
      <c r="H4" s="464"/>
      <c r="I4" s="464"/>
      <c r="J4" s="464"/>
      <c r="K4" s="465"/>
    </row>
    <row r="5" spans="1:11" ht="21.6" thickBot="1" x14ac:dyDescent="0.35">
      <c r="A5" s="458"/>
      <c r="B5" s="459"/>
      <c r="C5" s="466" t="s">
        <v>3</v>
      </c>
      <c r="D5" s="467"/>
      <c r="E5" s="467"/>
      <c r="F5" s="467"/>
      <c r="G5" s="467"/>
      <c r="H5" s="467"/>
      <c r="I5" s="467"/>
      <c r="J5" s="467"/>
      <c r="K5" s="468"/>
    </row>
    <row r="6" spans="1:11" ht="15" thickBot="1" x14ac:dyDescent="0.35"/>
    <row r="7" spans="1:11" ht="69.599999999999994" customHeight="1" thickBot="1" x14ac:dyDescent="0.35">
      <c r="B7" s="99" t="s">
        <v>4</v>
      </c>
      <c r="C7" s="97"/>
      <c r="D7" s="97"/>
      <c r="E7" s="97"/>
      <c r="F7" s="97"/>
      <c r="G7" s="97"/>
      <c r="H7" s="97"/>
      <c r="I7" s="97"/>
      <c r="J7" s="98"/>
    </row>
    <row r="8" spans="1:11" ht="69.599999999999994" customHeight="1" thickBot="1" x14ac:dyDescent="0.35">
      <c r="B8" s="99" t="s">
        <v>5</v>
      </c>
      <c r="C8" s="97"/>
      <c r="D8" s="97"/>
      <c r="E8" s="97"/>
      <c r="F8" s="97"/>
      <c r="G8" s="97"/>
      <c r="H8" s="97"/>
      <c r="I8" s="97"/>
      <c r="J8" s="98"/>
    </row>
    <row r="9" spans="1:11" ht="69.599999999999994" customHeight="1" thickBot="1" x14ac:dyDescent="0.35">
      <c r="B9" s="99" t="s">
        <v>6</v>
      </c>
      <c r="C9" s="97"/>
      <c r="D9" s="97"/>
      <c r="E9" s="97"/>
      <c r="F9" s="97"/>
      <c r="G9" s="97"/>
      <c r="H9" s="97"/>
      <c r="I9" s="97"/>
      <c r="J9" s="98"/>
    </row>
    <row r="10" spans="1:11" ht="69.599999999999994" customHeight="1" thickBot="1" x14ac:dyDescent="0.35">
      <c r="B10" s="99" t="s">
        <v>7</v>
      </c>
      <c r="C10" s="97"/>
      <c r="D10" s="97"/>
      <c r="E10" s="97"/>
      <c r="F10" s="97"/>
      <c r="G10" s="97"/>
      <c r="H10" s="97"/>
      <c r="I10" s="97"/>
      <c r="J10" s="98"/>
    </row>
    <row r="11" spans="1:11" ht="82.5" customHeight="1" thickBot="1" x14ac:dyDescent="0.45">
      <c r="B11" s="100" t="s">
        <v>8</v>
      </c>
      <c r="C11" s="101"/>
      <c r="D11" s="101"/>
      <c r="E11" s="101"/>
      <c r="F11" s="101"/>
      <c r="G11" s="101"/>
      <c r="H11" s="97"/>
      <c r="I11" s="97"/>
      <c r="J11" s="98"/>
    </row>
    <row r="12" spans="1:11" ht="72" customHeight="1" thickBot="1" x14ac:dyDescent="0.45">
      <c r="B12" s="100" t="s">
        <v>9</v>
      </c>
      <c r="C12" s="101"/>
      <c r="D12" s="101"/>
      <c r="E12" s="101"/>
      <c r="H12" s="97"/>
      <c r="I12" s="97"/>
      <c r="J12" s="98"/>
    </row>
    <row r="13" spans="1:11" ht="72" customHeight="1" thickBot="1" x14ac:dyDescent="0.45">
      <c r="B13" s="100" t="s">
        <v>10</v>
      </c>
      <c r="C13" s="101"/>
      <c r="D13" s="101"/>
      <c r="E13" s="101"/>
      <c r="F13" s="101"/>
      <c r="G13" s="101"/>
      <c r="H13" s="97"/>
      <c r="J13" s="98"/>
    </row>
    <row r="14" spans="1:11" ht="72" customHeight="1" thickBot="1" x14ac:dyDescent="0.45">
      <c r="B14" s="100" t="s">
        <v>11</v>
      </c>
      <c r="C14" s="101"/>
      <c r="D14" s="101"/>
      <c r="E14" s="101"/>
      <c r="F14" s="101"/>
      <c r="G14" s="101"/>
      <c r="I14" s="97"/>
      <c r="J14" s="98"/>
    </row>
    <row r="15" spans="1:11" ht="72" customHeight="1" thickBot="1" x14ac:dyDescent="0.45">
      <c r="B15" s="235" t="s">
        <v>12</v>
      </c>
      <c r="C15" s="236"/>
      <c r="D15" s="236"/>
      <c r="E15" s="236"/>
      <c r="F15" s="236"/>
      <c r="H15" s="237"/>
      <c r="I15" s="237"/>
      <c r="J15" s="238"/>
    </row>
    <row r="16" spans="1:11" ht="72" customHeight="1" thickBot="1" x14ac:dyDescent="0.45">
      <c r="B16" s="100" t="s">
        <v>13</v>
      </c>
      <c r="C16" s="101"/>
      <c r="D16" s="101"/>
      <c r="E16" s="101"/>
      <c r="F16" s="101"/>
      <c r="G16" s="101"/>
      <c r="H16" s="97"/>
      <c r="I16" s="97"/>
      <c r="J16" s="98"/>
    </row>
    <row r="17" x14ac:dyDescent="0.3"/>
    <row r="18" x14ac:dyDescent="0.3"/>
  </sheetData>
  <sheetProtection algorithmName="SHA-512" hashValue="QN/VEtHO93FR0qJLQ8Ps92Rgd6SDHIKT+/WiuubU1SBisvprv5fVbObEWSPkAA0JqOp/bctCCywpFgoIWBCJqQ==" saltValue="KrCgkcKbRmEUVLwT72Ouvw==" spinCount="100000" sheet="1" objects="1" scenarios="1"/>
  <mergeCells count="5">
    <mergeCell ref="A2:B5"/>
    <mergeCell ref="C2:K2"/>
    <mergeCell ref="C3:K3"/>
    <mergeCell ref="C4:K4"/>
    <mergeCell ref="C5:K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C6D06-A727-4F19-B2E3-D80B35E3BE8E}">
  <dimension ref="A1:P51"/>
  <sheetViews>
    <sheetView view="pageBreakPreview" zoomScale="60" zoomScaleNormal="55" workbookViewId="0">
      <selection sqref="A1:P1"/>
    </sheetView>
  </sheetViews>
  <sheetFormatPr baseColWidth="10" defaultRowHeight="14.4" x14ac:dyDescent="0.3"/>
  <cols>
    <col min="5" max="8" width="16.21875" customWidth="1"/>
    <col min="12" max="15" width="17.5546875" customWidth="1"/>
    <col min="16" max="16" width="11.5546875" style="653"/>
  </cols>
  <sheetData>
    <row r="1" spans="1:16" x14ac:dyDescent="0.3">
      <c r="A1" s="652"/>
      <c r="B1" s="652"/>
      <c r="C1" s="652"/>
      <c r="D1" s="652"/>
      <c r="E1" s="652"/>
      <c r="F1" s="652"/>
      <c r="G1" s="652"/>
      <c r="H1" s="652"/>
      <c r="I1" s="652"/>
      <c r="J1" s="652"/>
      <c r="K1" s="652"/>
      <c r="L1" s="652"/>
      <c r="M1" s="652"/>
      <c r="N1" s="652"/>
      <c r="O1" s="652"/>
      <c r="P1" s="652"/>
    </row>
    <row r="2" spans="1:16" ht="25.8" x14ac:dyDescent="0.3">
      <c r="A2" s="469"/>
      <c r="B2" s="639" t="s">
        <v>2591</v>
      </c>
      <c r="C2" s="639"/>
      <c r="D2" s="639"/>
      <c r="E2" s="639"/>
      <c r="F2" s="639"/>
      <c r="G2" s="639"/>
      <c r="H2" s="639"/>
      <c r="I2" s="639"/>
      <c r="J2" s="639"/>
      <c r="K2" s="639"/>
      <c r="L2" s="639"/>
      <c r="M2" s="639"/>
      <c r="N2" s="639"/>
      <c r="O2" s="639"/>
      <c r="P2" s="652"/>
    </row>
    <row r="3" spans="1:16" s="653" customFormat="1" ht="15" thickBot="1" x14ac:dyDescent="0.35">
      <c r="A3" s="469"/>
      <c r="P3" s="652"/>
    </row>
    <row r="4" spans="1:16" x14ac:dyDescent="0.3">
      <c r="A4" s="469"/>
      <c r="B4" s="640"/>
      <c r="C4" s="237"/>
      <c r="D4" s="237"/>
      <c r="E4" s="641" t="s">
        <v>2592</v>
      </c>
      <c r="F4" s="642"/>
      <c r="G4" s="642"/>
      <c r="H4" s="643"/>
      <c r="I4" s="237"/>
      <c r="J4" s="237"/>
      <c r="K4" s="237"/>
      <c r="L4" s="642" t="s">
        <v>2593</v>
      </c>
      <c r="M4" s="642"/>
      <c r="N4" s="642"/>
      <c r="O4" s="643"/>
      <c r="P4" s="652"/>
    </row>
    <row r="5" spans="1:16" x14ac:dyDescent="0.3">
      <c r="A5" s="469"/>
      <c r="B5" s="644"/>
      <c r="E5" s="645"/>
      <c r="F5" s="646"/>
      <c r="G5" s="646"/>
      <c r="H5" s="647"/>
      <c r="L5" s="646"/>
      <c r="M5" s="646"/>
      <c r="N5" s="646"/>
      <c r="O5" s="647"/>
      <c r="P5" s="652"/>
    </row>
    <row r="6" spans="1:16" x14ac:dyDescent="0.3">
      <c r="A6" s="469"/>
      <c r="B6" s="644"/>
      <c r="E6" s="645"/>
      <c r="F6" s="646"/>
      <c r="G6" s="646"/>
      <c r="H6" s="647"/>
      <c r="L6" s="646"/>
      <c r="M6" s="646"/>
      <c r="N6" s="646"/>
      <c r="O6" s="647"/>
      <c r="P6" s="652"/>
    </row>
    <row r="7" spans="1:16" x14ac:dyDescent="0.3">
      <c r="A7" s="469"/>
      <c r="B7" s="644"/>
      <c r="E7" s="645"/>
      <c r="F7" s="646"/>
      <c r="G7" s="646"/>
      <c r="H7" s="647"/>
      <c r="L7" s="646"/>
      <c r="M7" s="646"/>
      <c r="N7" s="646"/>
      <c r="O7" s="647"/>
      <c r="P7" s="652"/>
    </row>
    <row r="8" spans="1:16" x14ac:dyDescent="0.3">
      <c r="A8" s="469"/>
      <c r="B8" s="644"/>
      <c r="E8" s="645"/>
      <c r="F8" s="646"/>
      <c r="G8" s="646"/>
      <c r="H8" s="647"/>
      <c r="L8" s="646"/>
      <c r="M8" s="646"/>
      <c r="N8" s="646"/>
      <c r="O8" s="647"/>
      <c r="P8" s="652"/>
    </row>
    <row r="9" spans="1:16" x14ac:dyDescent="0.3">
      <c r="A9" s="469"/>
      <c r="B9" s="644"/>
      <c r="E9" s="645"/>
      <c r="F9" s="646"/>
      <c r="G9" s="646"/>
      <c r="H9" s="647"/>
      <c r="L9" s="646"/>
      <c r="M9" s="646"/>
      <c r="N9" s="646"/>
      <c r="O9" s="647"/>
      <c r="P9" s="652"/>
    </row>
    <row r="10" spans="1:16" x14ac:dyDescent="0.3">
      <c r="A10" s="469"/>
      <c r="B10" s="644"/>
      <c r="E10" s="645"/>
      <c r="F10" s="646"/>
      <c r="G10" s="646"/>
      <c r="H10" s="647"/>
      <c r="L10" s="646"/>
      <c r="M10" s="646"/>
      <c r="N10" s="646"/>
      <c r="O10" s="647"/>
      <c r="P10" s="652"/>
    </row>
    <row r="11" spans="1:16" ht="15" thickBot="1" x14ac:dyDescent="0.35">
      <c r="A11" s="469"/>
      <c r="B11" s="648"/>
      <c r="C11" s="378"/>
      <c r="D11" s="378"/>
      <c r="E11" s="649"/>
      <c r="F11" s="650"/>
      <c r="G11" s="650"/>
      <c r="H11" s="651"/>
      <c r="I11" s="378"/>
      <c r="J11" s="378"/>
      <c r="K11" s="378"/>
      <c r="L11" s="650"/>
      <c r="M11" s="650"/>
      <c r="N11" s="650"/>
      <c r="O11" s="651"/>
      <c r="P11" s="652"/>
    </row>
    <row r="12" spans="1:16" s="653" customFormat="1" x14ac:dyDescent="0.3">
      <c r="A12" s="469"/>
      <c r="B12" s="652"/>
      <c r="C12" s="652"/>
      <c r="D12" s="652"/>
      <c r="E12" s="652"/>
      <c r="F12" s="652"/>
      <c r="G12" s="652"/>
      <c r="H12" s="652"/>
      <c r="I12" s="652"/>
      <c r="J12" s="652"/>
      <c r="K12" s="652"/>
      <c r="L12" s="652"/>
      <c r="M12" s="652"/>
      <c r="N12" s="652"/>
      <c r="O12" s="652"/>
      <c r="P12" s="652"/>
    </row>
    <row r="13" spans="1:16" s="653" customFormat="1" x14ac:dyDescent="0.3">
      <c r="A13" s="469"/>
      <c r="P13" s="652"/>
    </row>
    <row r="14" spans="1:16" s="653" customFormat="1" x14ac:dyDescent="0.3">
      <c r="A14" s="469"/>
      <c r="P14" s="652"/>
    </row>
    <row r="15" spans="1:16" s="653" customFormat="1" x14ac:dyDescent="0.3">
      <c r="A15" s="469"/>
      <c r="P15" s="652"/>
    </row>
    <row r="16" spans="1:16" s="653" customFormat="1" x14ac:dyDescent="0.3">
      <c r="A16" s="469"/>
      <c r="P16" s="652"/>
    </row>
    <row r="17" spans="1:16" s="653" customFormat="1" x14ac:dyDescent="0.3">
      <c r="A17" s="469"/>
      <c r="P17" s="652"/>
    </row>
    <row r="18" spans="1:16" s="653" customFormat="1" x14ac:dyDescent="0.3">
      <c r="A18" s="469"/>
      <c r="P18" s="652"/>
    </row>
    <row r="19" spans="1:16" s="653" customFormat="1" x14ac:dyDescent="0.3">
      <c r="A19" s="469"/>
      <c r="P19" s="652"/>
    </row>
    <row r="20" spans="1:16" s="653" customFormat="1" x14ac:dyDescent="0.3">
      <c r="A20" s="469"/>
      <c r="P20" s="652"/>
    </row>
    <row r="21" spans="1:16" s="653" customFormat="1" x14ac:dyDescent="0.3">
      <c r="A21" s="469"/>
      <c r="P21" s="652"/>
    </row>
    <row r="22" spans="1:16" s="653" customFormat="1" x14ac:dyDescent="0.3">
      <c r="A22" s="469"/>
      <c r="P22" s="652"/>
    </row>
    <row r="23" spans="1:16" s="653" customFormat="1" x14ac:dyDescent="0.3">
      <c r="A23" s="469"/>
      <c r="P23" s="652"/>
    </row>
    <row r="24" spans="1:16" s="653" customFormat="1" x14ac:dyDescent="0.3">
      <c r="A24" s="469"/>
      <c r="P24" s="652"/>
    </row>
    <row r="25" spans="1:16" s="653" customFormat="1" x14ac:dyDescent="0.3">
      <c r="A25" s="469"/>
      <c r="P25" s="652"/>
    </row>
    <row r="26" spans="1:16" s="653" customFormat="1" x14ac:dyDescent="0.3">
      <c r="A26" s="469"/>
      <c r="P26" s="652"/>
    </row>
    <row r="27" spans="1:16" s="653" customFormat="1" x14ac:dyDescent="0.3">
      <c r="A27" s="469"/>
      <c r="P27" s="652"/>
    </row>
    <row r="28" spans="1:16" s="653" customFormat="1" x14ac:dyDescent="0.3">
      <c r="A28" s="469"/>
      <c r="P28" s="652"/>
    </row>
    <row r="29" spans="1:16" s="653" customFormat="1" x14ac:dyDescent="0.3">
      <c r="A29" s="469"/>
      <c r="P29" s="652"/>
    </row>
    <row r="30" spans="1:16" s="653" customFormat="1" x14ac:dyDescent="0.3">
      <c r="A30" s="469"/>
      <c r="P30" s="652"/>
    </row>
    <row r="31" spans="1:16" s="653" customFormat="1" x14ac:dyDescent="0.3">
      <c r="A31" s="469"/>
      <c r="P31" s="652"/>
    </row>
    <row r="32" spans="1:16" s="653" customFormat="1" x14ac:dyDescent="0.3">
      <c r="A32" s="469"/>
      <c r="P32" s="652"/>
    </row>
    <row r="33" spans="1:16" s="653" customFormat="1" x14ac:dyDescent="0.3">
      <c r="A33" s="469"/>
      <c r="P33" s="652"/>
    </row>
    <row r="34" spans="1:16" s="653" customFormat="1" x14ac:dyDescent="0.3">
      <c r="A34" s="469"/>
      <c r="P34" s="652"/>
    </row>
    <row r="35" spans="1:16" s="653" customFormat="1" x14ac:dyDescent="0.3">
      <c r="A35" s="469"/>
      <c r="P35" s="652"/>
    </row>
    <row r="36" spans="1:16" s="653" customFormat="1" x14ac:dyDescent="0.3">
      <c r="A36" s="469"/>
      <c r="P36" s="652"/>
    </row>
    <row r="37" spans="1:16" s="653" customFormat="1" x14ac:dyDescent="0.3">
      <c r="A37" s="469"/>
      <c r="P37" s="652"/>
    </row>
    <row r="38" spans="1:16" s="653" customFormat="1" x14ac:dyDescent="0.3">
      <c r="A38" s="469"/>
      <c r="P38" s="652"/>
    </row>
    <row r="39" spans="1:16" s="653" customFormat="1" x14ac:dyDescent="0.3">
      <c r="A39" s="469"/>
      <c r="P39" s="652"/>
    </row>
    <row r="40" spans="1:16" s="653" customFormat="1" x14ac:dyDescent="0.3">
      <c r="A40" s="469"/>
      <c r="P40" s="652"/>
    </row>
    <row r="41" spans="1:16" s="653" customFormat="1" x14ac:dyDescent="0.3">
      <c r="A41" s="469"/>
      <c r="P41" s="652"/>
    </row>
    <row r="42" spans="1:16" s="653" customFormat="1" x14ac:dyDescent="0.3">
      <c r="A42" s="469"/>
      <c r="P42" s="652"/>
    </row>
    <row r="43" spans="1:16" s="653" customFormat="1" x14ac:dyDescent="0.3">
      <c r="A43" s="469"/>
      <c r="P43" s="652"/>
    </row>
    <row r="44" spans="1:16" s="653" customFormat="1" x14ac:dyDescent="0.3">
      <c r="A44" s="652"/>
      <c r="B44" s="652"/>
      <c r="C44" s="652"/>
      <c r="D44" s="652"/>
      <c r="E44" s="652"/>
      <c r="F44" s="652"/>
      <c r="G44" s="652"/>
      <c r="H44" s="652"/>
      <c r="I44" s="652"/>
      <c r="J44" s="652"/>
      <c r="K44" s="652"/>
      <c r="L44" s="652"/>
      <c r="M44" s="652"/>
      <c r="N44" s="652"/>
      <c r="O44" s="652"/>
      <c r="P44" s="652"/>
    </row>
    <row r="45" spans="1:16" s="653" customFormat="1" x14ac:dyDescent="0.3"/>
    <row r="46" spans="1:16" s="653" customFormat="1" x14ac:dyDescent="0.3"/>
    <row r="47" spans="1:16" s="653" customFormat="1" x14ac:dyDescent="0.3"/>
    <row r="48" spans="1:16" s="653" customFormat="1" x14ac:dyDescent="0.3"/>
    <row r="49" s="653" customFormat="1" x14ac:dyDescent="0.3"/>
    <row r="50" s="653" customFormat="1" x14ac:dyDescent="0.3"/>
    <row r="51" s="653" customFormat="1" x14ac:dyDescent="0.3"/>
  </sheetData>
  <mergeCells count="8">
    <mergeCell ref="A44:P44"/>
    <mergeCell ref="A1:P1"/>
    <mergeCell ref="A2:A43"/>
    <mergeCell ref="B2:O2"/>
    <mergeCell ref="P2:P43"/>
    <mergeCell ref="E4:H11"/>
    <mergeCell ref="L4:O11"/>
    <mergeCell ref="B12:O12"/>
  </mergeCells>
  <pageMargins left="0.7" right="0.7" top="0.75" bottom="0.75" header="0.3" footer="0.3"/>
  <pageSetup scale="3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38E7B-CF11-488A-B765-553C41B0B31A}">
  <dimension ref="A1:Q61"/>
  <sheetViews>
    <sheetView view="pageBreakPreview" zoomScale="60" zoomScaleNormal="55" workbookViewId="0">
      <selection sqref="A1:Q1"/>
    </sheetView>
  </sheetViews>
  <sheetFormatPr baseColWidth="10" defaultRowHeight="14.4" x14ac:dyDescent="0.3"/>
  <cols>
    <col min="1" max="15" width="11.5546875" style="653"/>
    <col min="16" max="16" width="6.109375" style="653" customWidth="1"/>
    <col min="17" max="16384" width="11.5546875" style="653"/>
  </cols>
  <sheetData>
    <row r="1" spans="1:17" ht="30" customHeight="1" x14ac:dyDescent="0.3">
      <c r="A1" s="652"/>
      <c r="B1" s="652"/>
      <c r="C1" s="652"/>
      <c r="D1" s="652"/>
      <c r="E1" s="652"/>
      <c r="F1" s="652"/>
      <c r="G1" s="652"/>
      <c r="H1" s="652"/>
      <c r="I1" s="652"/>
      <c r="J1" s="652"/>
      <c r="K1" s="652"/>
      <c r="L1" s="652"/>
      <c r="M1" s="652"/>
      <c r="N1" s="652"/>
      <c r="O1" s="652"/>
      <c r="P1" s="652"/>
      <c r="Q1" s="652"/>
    </row>
    <row r="2" spans="1:17" x14ac:dyDescent="0.3">
      <c r="A2" s="652"/>
      <c r="Q2" s="652"/>
    </row>
    <row r="3" spans="1:17" x14ac:dyDescent="0.3">
      <c r="A3" s="652"/>
      <c r="Q3" s="652"/>
    </row>
    <row r="4" spans="1:17" x14ac:dyDescent="0.3">
      <c r="A4" s="652"/>
      <c r="Q4" s="652"/>
    </row>
    <row r="5" spans="1:17" x14ac:dyDescent="0.3">
      <c r="A5" s="652"/>
      <c r="Q5" s="652"/>
    </row>
    <row r="6" spans="1:17" x14ac:dyDescent="0.3">
      <c r="A6" s="652"/>
      <c r="Q6" s="652"/>
    </row>
    <row r="7" spans="1:17" x14ac:dyDescent="0.3">
      <c r="A7" s="652"/>
      <c r="Q7" s="652"/>
    </row>
    <row r="8" spans="1:17" x14ac:dyDescent="0.3">
      <c r="A8" s="652"/>
      <c r="Q8" s="652"/>
    </row>
    <row r="9" spans="1:17" x14ac:dyDescent="0.3">
      <c r="A9" s="652"/>
      <c r="Q9" s="652"/>
    </row>
    <row r="10" spans="1:17" x14ac:dyDescent="0.3">
      <c r="A10" s="652"/>
      <c r="Q10" s="652"/>
    </row>
    <row r="11" spans="1:17" x14ac:dyDescent="0.3">
      <c r="A11" s="652"/>
      <c r="Q11" s="652"/>
    </row>
    <row r="12" spans="1:17" x14ac:dyDescent="0.3">
      <c r="A12" s="652"/>
      <c r="Q12" s="652"/>
    </row>
    <row r="13" spans="1:17" x14ac:dyDescent="0.3">
      <c r="A13" s="652"/>
      <c r="Q13" s="652"/>
    </row>
    <row r="14" spans="1:17" x14ac:dyDescent="0.3">
      <c r="A14" s="652"/>
      <c r="Q14" s="652"/>
    </row>
    <row r="15" spans="1:17" x14ac:dyDescent="0.3">
      <c r="A15" s="652"/>
      <c r="Q15" s="652"/>
    </row>
    <row r="16" spans="1:17" x14ac:dyDescent="0.3">
      <c r="A16" s="652"/>
      <c r="Q16" s="652"/>
    </row>
    <row r="17" spans="1:17" x14ac:dyDescent="0.3">
      <c r="A17" s="652"/>
      <c r="Q17" s="652"/>
    </row>
    <row r="18" spans="1:17" x14ac:dyDescent="0.3">
      <c r="A18" s="652"/>
      <c r="Q18" s="652"/>
    </row>
    <row r="19" spans="1:17" x14ac:dyDescent="0.3">
      <c r="A19" s="652"/>
      <c r="Q19" s="652"/>
    </row>
    <row r="20" spans="1:17" x14ac:dyDescent="0.3">
      <c r="A20" s="652"/>
      <c r="Q20" s="652"/>
    </row>
    <row r="21" spans="1:17" x14ac:dyDescent="0.3">
      <c r="A21" s="652"/>
      <c r="Q21" s="652"/>
    </row>
    <row r="22" spans="1:17" x14ac:dyDescent="0.3">
      <c r="A22" s="652"/>
      <c r="Q22" s="652"/>
    </row>
    <row r="23" spans="1:17" x14ac:dyDescent="0.3">
      <c r="A23" s="652"/>
      <c r="Q23" s="652"/>
    </row>
    <row r="24" spans="1:17" x14ac:dyDescent="0.3">
      <c r="A24" s="652"/>
      <c r="Q24" s="652"/>
    </row>
    <row r="25" spans="1:17" x14ac:dyDescent="0.3">
      <c r="A25" s="652"/>
      <c r="Q25" s="652"/>
    </row>
    <row r="26" spans="1:17" x14ac:dyDescent="0.3">
      <c r="A26" s="652"/>
      <c r="Q26" s="652"/>
    </row>
    <row r="27" spans="1:17" x14ac:dyDescent="0.3">
      <c r="A27" s="652"/>
      <c r="Q27" s="652"/>
    </row>
    <row r="28" spans="1:17" x14ac:dyDescent="0.3">
      <c r="A28" s="652"/>
      <c r="Q28" s="652"/>
    </row>
    <row r="29" spans="1:17" x14ac:dyDescent="0.3">
      <c r="A29" s="652"/>
      <c r="Q29" s="652"/>
    </row>
    <row r="30" spans="1:17" x14ac:dyDescent="0.3">
      <c r="A30" s="652"/>
      <c r="Q30" s="652"/>
    </row>
    <row r="31" spans="1:17" x14ac:dyDescent="0.3">
      <c r="A31" s="652"/>
      <c r="Q31" s="652"/>
    </row>
    <row r="32" spans="1:17" x14ac:dyDescent="0.3">
      <c r="A32" s="652"/>
      <c r="Q32" s="652"/>
    </row>
    <row r="33" spans="1:17" x14ac:dyDescent="0.3">
      <c r="A33" s="652"/>
      <c r="Q33" s="652"/>
    </row>
    <row r="34" spans="1:17" x14ac:dyDescent="0.3">
      <c r="A34" s="652"/>
      <c r="Q34" s="652"/>
    </row>
    <row r="35" spans="1:17" x14ac:dyDescent="0.3">
      <c r="A35" s="652"/>
      <c r="Q35" s="652"/>
    </row>
    <row r="36" spans="1:17" x14ac:dyDescent="0.3">
      <c r="A36" s="652"/>
      <c r="Q36" s="652"/>
    </row>
    <row r="37" spans="1:17" x14ac:dyDescent="0.3">
      <c r="A37" s="652"/>
      <c r="Q37" s="652"/>
    </row>
    <row r="38" spans="1:17" x14ac:dyDescent="0.3">
      <c r="A38" s="652"/>
      <c r="Q38" s="652"/>
    </row>
    <row r="39" spans="1:17" x14ac:dyDescent="0.3">
      <c r="A39" s="652"/>
      <c r="Q39" s="652"/>
    </row>
    <row r="40" spans="1:17" x14ac:dyDescent="0.3">
      <c r="A40" s="652"/>
      <c r="Q40" s="652"/>
    </row>
    <row r="41" spans="1:17" x14ac:dyDescent="0.3">
      <c r="A41" s="652"/>
      <c r="Q41" s="652"/>
    </row>
    <row r="42" spans="1:17" x14ac:dyDescent="0.3">
      <c r="A42" s="652"/>
      <c r="Q42" s="652"/>
    </row>
    <row r="43" spans="1:17" x14ac:dyDescent="0.3">
      <c r="A43" s="652"/>
      <c r="Q43" s="652"/>
    </row>
    <row r="44" spans="1:17" x14ac:dyDescent="0.3">
      <c r="A44" s="652"/>
      <c r="Q44" s="652"/>
    </row>
    <row r="45" spans="1:17" x14ac:dyDescent="0.3">
      <c r="A45" s="652"/>
      <c r="Q45" s="652"/>
    </row>
    <row r="46" spans="1:17" x14ac:dyDescent="0.3">
      <c r="A46" s="652"/>
      <c r="Q46" s="652"/>
    </row>
    <row r="47" spans="1:17" x14ac:dyDescent="0.3">
      <c r="A47" s="652"/>
      <c r="Q47" s="652"/>
    </row>
    <row r="48" spans="1:17" x14ac:dyDescent="0.3">
      <c r="A48" s="652"/>
      <c r="Q48" s="652"/>
    </row>
    <row r="49" spans="1:17" x14ac:dyDescent="0.3">
      <c r="A49" s="652"/>
      <c r="Q49" s="652"/>
    </row>
    <row r="50" spans="1:17" x14ac:dyDescent="0.3">
      <c r="A50" s="652"/>
      <c r="Q50" s="652"/>
    </row>
    <row r="51" spans="1:17" x14ac:dyDescent="0.3">
      <c r="A51" s="652"/>
      <c r="Q51" s="652"/>
    </row>
    <row r="52" spans="1:17" x14ac:dyDescent="0.3">
      <c r="A52" s="652"/>
      <c r="Q52" s="652"/>
    </row>
    <row r="53" spans="1:17" x14ac:dyDescent="0.3">
      <c r="A53" s="652"/>
      <c r="Q53" s="652"/>
    </row>
    <row r="54" spans="1:17" x14ac:dyDescent="0.3">
      <c r="A54" s="652"/>
      <c r="Q54" s="652"/>
    </row>
    <row r="55" spans="1:17" x14ac:dyDescent="0.3">
      <c r="A55" s="652"/>
      <c r="Q55" s="652"/>
    </row>
    <row r="56" spans="1:17" x14ac:dyDescent="0.3">
      <c r="A56" s="652"/>
      <c r="Q56" s="652"/>
    </row>
    <row r="57" spans="1:17" x14ac:dyDescent="0.3">
      <c r="A57" s="652"/>
      <c r="Q57" s="652"/>
    </row>
    <row r="58" spans="1:17" x14ac:dyDescent="0.3">
      <c r="A58" s="652"/>
      <c r="Q58" s="652"/>
    </row>
    <row r="59" spans="1:17" x14ac:dyDescent="0.3">
      <c r="A59" s="652"/>
      <c r="Q59" s="652"/>
    </row>
    <row r="60" spans="1:17" ht="7.5" customHeight="1" x14ac:dyDescent="0.3">
      <c r="A60" s="652"/>
      <c r="Q60" s="652"/>
    </row>
    <row r="61" spans="1:17" ht="30" customHeight="1" x14ac:dyDescent="0.3">
      <c r="A61" s="652"/>
      <c r="B61" s="652"/>
      <c r="C61" s="652"/>
      <c r="D61" s="652"/>
      <c r="E61" s="652"/>
      <c r="F61" s="652"/>
      <c r="G61" s="652"/>
      <c r="H61" s="652"/>
      <c r="I61" s="652"/>
      <c r="J61" s="652"/>
      <c r="K61" s="652"/>
      <c r="L61" s="652"/>
      <c r="M61" s="652"/>
      <c r="N61" s="652"/>
      <c r="O61" s="652"/>
      <c r="P61" s="652"/>
      <c r="Q61" s="652"/>
    </row>
  </sheetData>
  <mergeCells count="4">
    <mergeCell ref="A1:Q1"/>
    <mergeCell ref="A2:A60"/>
    <mergeCell ref="Q2:Q60"/>
    <mergeCell ref="A61:Q61"/>
  </mergeCells>
  <pageMargins left="0.7" right="0.7" top="0.75" bottom="0.75" header="0.3" footer="0.3"/>
  <pageSetup scale="50" orientation="portrait" r:id="rId1"/>
  <rowBreaks count="1" manualBreakCount="1">
    <brk id="6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46"/>
  <sheetViews>
    <sheetView topLeftCell="A28" zoomScale="70" zoomScaleNormal="70" workbookViewId="0">
      <selection activeCell="B50" sqref="B50"/>
    </sheetView>
  </sheetViews>
  <sheetFormatPr baseColWidth="10" defaultColWidth="11.44140625" defaultRowHeight="14.4" x14ac:dyDescent="0.3"/>
  <cols>
    <col min="1" max="1" width="27.33203125" customWidth="1"/>
    <col min="2" max="2" width="26.33203125" customWidth="1"/>
    <col min="3" max="3" width="27.109375" customWidth="1"/>
    <col min="4" max="4" width="25.109375" customWidth="1"/>
    <col min="5" max="5" width="37" customWidth="1"/>
    <col min="6" max="6" width="17.33203125" customWidth="1"/>
    <col min="7" max="7" width="17.5546875" customWidth="1"/>
    <col min="8" max="8" width="18.5546875" customWidth="1"/>
    <col min="9" max="9" width="13.6640625" customWidth="1"/>
    <col min="10" max="10" width="21.5546875" customWidth="1"/>
    <col min="11" max="11" width="21.88671875" customWidth="1"/>
    <col min="12" max="12" width="37.6640625" customWidth="1"/>
    <col min="13" max="13" width="57.6640625" customWidth="1"/>
    <col min="14" max="14" width="22" customWidth="1"/>
    <col min="17" max="17" width="39.109375" customWidth="1"/>
    <col min="18" max="18" width="22" customWidth="1"/>
    <col min="21" max="21" width="19.109375" customWidth="1"/>
    <col min="22" max="22" width="22" customWidth="1"/>
    <col min="26" max="26" width="22" customWidth="1"/>
    <col min="30" max="30" width="21.33203125" customWidth="1"/>
  </cols>
  <sheetData>
    <row r="1" spans="1:31" ht="28.8" x14ac:dyDescent="0.3">
      <c r="A1" s="296" t="s">
        <v>1861</v>
      </c>
      <c r="B1" s="296" t="s">
        <v>1862</v>
      </c>
      <c r="C1" s="297" t="s">
        <v>1863</v>
      </c>
      <c r="D1" s="297" t="s">
        <v>1864</v>
      </c>
      <c r="E1" s="296" t="s">
        <v>1865</v>
      </c>
      <c r="F1" s="297" t="s">
        <v>1866</v>
      </c>
      <c r="G1" s="296" t="s">
        <v>1867</v>
      </c>
      <c r="H1" s="296" t="s">
        <v>1868</v>
      </c>
      <c r="I1" s="296" t="s">
        <v>1869</v>
      </c>
      <c r="J1" s="296" t="s">
        <v>1870</v>
      </c>
      <c r="K1" s="296" t="s">
        <v>1871</v>
      </c>
      <c r="L1" s="296" t="s">
        <v>1872</v>
      </c>
      <c r="M1" s="296" t="s">
        <v>1873</v>
      </c>
      <c r="N1" s="296" t="s">
        <v>1874</v>
      </c>
      <c r="O1" s="296" t="s">
        <v>1875</v>
      </c>
      <c r="P1" s="296" t="s">
        <v>1876</v>
      </c>
      <c r="Q1" s="296" t="s">
        <v>1877</v>
      </c>
      <c r="R1" s="296" t="s">
        <v>1878</v>
      </c>
      <c r="S1" s="296" t="s">
        <v>1879</v>
      </c>
      <c r="T1" s="296" t="s">
        <v>1880</v>
      </c>
      <c r="U1" s="296" t="s">
        <v>1881</v>
      </c>
      <c r="V1" s="296" t="s">
        <v>1882</v>
      </c>
      <c r="W1" s="296" t="s">
        <v>1883</v>
      </c>
      <c r="X1" s="296" t="s">
        <v>1884</v>
      </c>
      <c r="Y1" s="296" t="s">
        <v>1885</v>
      </c>
      <c r="Z1" s="296" t="s">
        <v>1886</v>
      </c>
      <c r="AA1" s="296" t="s">
        <v>1887</v>
      </c>
      <c r="AB1" s="296" t="s">
        <v>1888</v>
      </c>
      <c r="AC1" s="296" t="s">
        <v>1889</v>
      </c>
      <c r="AD1" s="297" t="s">
        <v>1890</v>
      </c>
      <c r="AE1" s="294" t="s">
        <v>1891</v>
      </c>
    </row>
    <row r="2" spans="1:31" ht="44.25" customHeight="1" x14ac:dyDescent="0.3">
      <c r="A2" t="s">
        <v>1892</v>
      </c>
      <c r="B2" t="s">
        <v>1892</v>
      </c>
      <c r="C2" s="9">
        <v>44000</v>
      </c>
      <c r="D2" s="9" t="s">
        <v>642</v>
      </c>
      <c r="E2" t="s">
        <v>1893</v>
      </c>
      <c r="F2" s="9" t="s">
        <v>642</v>
      </c>
      <c r="G2">
        <v>65</v>
      </c>
      <c r="H2" t="s">
        <v>1894</v>
      </c>
      <c r="I2" t="str">
        <f>CONCATENATE(Tabla1[[#This Row],['#Memorando /Correo Entrada]],"_",Tabla1[[#This Row],[Id_Indicador]])</f>
        <v>Correo electrónico_65</v>
      </c>
      <c r="J2" t="s">
        <v>1895</v>
      </c>
      <c r="K2" t="s">
        <v>642</v>
      </c>
      <c r="L2" t="s">
        <v>1896</v>
      </c>
      <c r="M2" s="298" t="s">
        <v>1897</v>
      </c>
      <c r="AD2" s="9">
        <v>44000</v>
      </c>
      <c r="AE2" s="295" t="s">
        <v>1898</v>
      </c>
    </row>
    <row r="3" spans="1:31" ht="44.25" customHeight="1" x14ac:dyDescent="0.3">
      <c r="A3" t="s">
        <v>1892</v>
      </c>
      <c r="B3" t="s">
        <v>1892</v>
      </c>
      <c r="C3" s="9">
        <v>44000</v>
      </c>
      <c r="D3" s="9" t="s">
        <v>642</v>
      </c>
      <c r="E3" t="s">
        <v>1893</v>
      </c>
      <c r="F3" s="9" t="s">
        <v>642</v>
      </c>
      <c r="G3">
        <v>66</v>
      </c>
      <c r="H3" t="s">
        <v>1894</v>
      </c>
      <c r="I3" t="str">
        <f>CONCATENATE(Tabla1[[#This Row],['#Memorando /Correo Entrada]],"_",Tabla1[[#This Row],[Id_Indicador]])</f>
        <v>Correo electrónico_66</v>
      </c>
      <c r="J3" t="s">
        <v>1895</v>
      </c>
      <c r="K3" t="s">
        <v>642</v>
      </c>
      <c r="L3" t="s">
        <v>1896</v>
      </c>
      <c r="M3" s="298" t="s">
        <v>1897</v>
      </c>
      <c r="AD3" s="9">
        <v>44000</v>
      </c>
      <c r="AE3" s="295" t="s">
        <v>1898</v>
      </c>
    </row>
    <row r="4" spans="1:31" ht="44.25" customHeight="1" x14ac:dyDescent="0.3">
      <c r="A4" t="s">
        <v>1892</v>
      </c>
      <c r="B4" t="s">
        <v>1892</v>
      </c>
      <c r="C4" s="9">
        <v>44000</v>
      </c>
      <c r="D4" s="9" t="s">
        <v>642</v>
      </c>
      <c r="E4" t="s">
        <v>1893</v>
      </c>
      <c r="F4" s="9" t="s">
        <v>642</v>
      </c>
      <c r="G4">
        <v>67</v>
      </c>
      <c r="H4" t="s">
        <v>1894</v>
      </c>
      <c r="I4" t="str">
        <f>CONCATENATE(Tabla1[[#This Row],['#Memorando /Correo Entrada]],"_",Tabla1[[#This Row],[Id_Indicador]])</f>
        <v>Correo electrónico_67</v>
      </c>
      <c r="J4" t="s">
        <v>1895</v>
      </c>
      <c r="K4" t="s">
        <v>642</v>
      </c>
      <c r="L4" t="s">
        <v>1896</v>
      </c>
      <c r="M4" s="298" t="s">
        <v>1897</v>
      </c>
      <c r="AD4" s="9">
        <v>44000</v>
      </c>
      <c r="AE4" s="295" t="s">
        <v>1898</v>
      </c>
    </row>
    <row r="5" spans="1:31" ht="44.25" customHeight="1" x14ac:dyDescent="0.3">
      <c r="A5" t="s">
        <v>1892</v>
      </c>
      <c r="B5" t="s">
        <v>1892</v>
      </c>
      <c r="C5" s="9">
        <v>44000</v>
      </c>
      <c r="D5" s="9" t="s">
        <v>642</v>
      </c>
      <c r="E5" t="s">
        <v>1893</v>
      </c>
      <c r="F5" s="9" t="s">
        <v>642</v>
      </c>
      <c r="G5" t="s">
        <v>377</v>
      </c>
      <c r="H5" t="s">
        <v>1894</v>
      </c>
      <c r="I5" t="str">
        <f>CONCATENATE(Tabla1[[#This Row],['#Memorando /Correo Entrada]],"_",Tabla1[[#This Row],[Id_Indicador]])</f>
        <v>Correo electrónico_PAAC_43</v>
      </c>
      <c r="J5" t="s">
        <v>1895</v>
      </c>
      <c r="K5" t="s">
        <v>642</v>
      </c>
      <c r="L5" t="s">
        <v>1896</v>
      </c>
      <c r="M5" s="298" t="s">
        <v>1897</v>
      </c>
      <c r="AD5" s="9">
        <v>44000</v>
      </c>
      <c r="AE5" s="295" t="s">
        <v>1898</v>
      </c>
    </row>
    <row r="6" spans="1:31" ht="44.25" customHeight="1" x14ac:dyDescent="0.3">
      <c r="A6" t="s">
        <v>1892</v>
      </c>
      <c r="B6" t="s">
        <v>1892</v>
      </c>
      <c r="C6" s="9">
        <v>44000</v>
      </c>
      <c r="D6" s="9" t="s">
        <v>642</v>
      </c>
      <c r="E6" t="s">
        <v>1893</v>
      </c>
      <c r="F6" s="9" t="s">
        <v>642</v>
      </c>
      <c r="G6" t="s">
        <v>378</v>
      </c>
      <c r="H6" t="s">
        <v>1894</v>
      </c>
      <c r="I6" t="str">
        <f>CONCATENATE(Tabla1[[#This Row],['#Memorando /Correo Entrada]],"_",Tabla1[[#This Row],[Id_Indicador]])</f>
        <v>Correo electrónico_PAAC_47</v>
      </c>
      <c r="J6" t="s">
        <v>1895</v>
      </c>
      <c r="K6" t="s">
        <v>642</v>
      </c>
      <c r="L6" t="s">
        <v>1896</v>
      </c>
      <c r="M6" s="298" t="s">
        <v>1897</v>
      </c>
      <c r="AD6" s="9">
        <v>44000</v>
      </c>
      <c r="AE6" s="295" t="s">
        <v>1898</v>
      </c>
    </row>
    <row r="7" spans="1:31" ht="44.25" customHeight="1" x14ac:dyDescent="0.3">
      <c r="A7" t="s">
        <v>1899</v>
      </c>
      <c r="B7" t="s">
        <v>1892</v>
      </c>
      <c r="C7" s="9">
        <v>43998</v>
      </c>
      <c r="D7" s="9">
        <v>44000</v>
      </c>
      <c r="E7" t="s">
        <v>1893</v>
      </c>
      <c r="F7" s="9" t="s">
        <v>642</v>
      </c>
      <c r="G7">
        <v>161</v>
      </c>
      <c r="H7" t="s">
        <v>1900</v>
      </c>
      <c r="I7" t="str">
        <f>CONCATENATE(Tabla1[[#This Row],['#Memorando /Correo Entrada]],"_",Tabla1[[#This Row],[Id_Indicador]])</f>
        <v>3-2020-12654_161</v>
      </c>
      <c r="J7" t="s">
        <v>1901</v>
      </c>
      <c r="M7" t="s">
        <v>1902</v>
      </c>
      <c r="AD7" s="9">
        <v>44000</v>
      </c>
      <c r="AE7" s="295" t="s">
        <v>1898</v>
      </c>
    </row>
    <row r="8" spans="1:31" ht="44.25" customHeight="1" x14ac:dyDescent="0.3">
      <c r="A8" t="s">
        <v>1903</v>
      </c>
      <c r="B8" s="300"/>
      <c r="C8" s="9">
        <v>44000</v>
      </c>
      <c r="D8" s="299"/>
      <c r="E8" t="s">
        <v>1893</v>
      </c>
      <c r="F8" s="9" t="s">
        <v>642</v>
      </c>
      <c r="G8" s="298" t="s">
        <v>360</v>
      </c>
      <c r="H8" t="s">
        <v>1904</v>
      </c>
      <c r="I8" t="str">
        <f>CONCATENATE(Tabla1[[#This Row],['#Memorando /Correo Entrada]],"_",Tabla1[[#This Row],[Id_Indicador]])</f>
        <v>3-2020-12843 _19C</v>
      </c>
      <c r="J8" t="s">
        <v>1905</v>
      </c>
      <c r="K8" t="s">
        <v>1906</v>
      </c>
      <c r="L8" t="s">
        <v>1907</v>
      </c>
      <c r="AD8" s="9">
        <v>44003</v>
      </c>
      <c r="AE8" s="295" t="s">
        <v>1898</v>
      </c>
    </row>
    <row r="9" spans="1:31" ht="44.25" customHeight="1" x14ac:dyDescent="0.3">
      <c r="A9" s="326" t="s">
        <v>1908</v>
      </c>
      <c r="B9" s="331" t="s">
        <v>1892</v>
      </c>
      <c r="C9" s="327">
        <v>44000</v>
      </c>
      <c r="D9" s="332">
        <v>44001</v>
      </c>
      <c r="E9" s="326" t="s">
        <v>1893</v>
      </c>
      <c r="F9" s="327" t="s">
        <v>642</v>
      </c>
      <c r="G9" s="326">
        <v>120</v>
      </c>
      <c r="H9" s="328" t="s">
        <v>134</v>
      </c>
      <c r="I9" s="326" t="str">
        <f>CONCATENATE(Tabla1[[#This Row],['#Memorando /Correo Entrada]],"_",Tabla1[[#This Row],[Id_Indicador]])</f>
        <v>3-2020-12890_120</v>
      </c>
      <c r="J9" s="326" t="s">
        <v>1905</v>
      </c>
      <c r="K9" t="s">
        <v>1909</v>
      </c>
      <c r="L9" s="328" t="s">
        <v>1910</v>
      </c>
      <c r="M9" s="328" t="s">
        <v>1911</v>
      </c>
      <c r="N9" s="328" t="s">
        <v>1912</v>
      </c>
      <c r="O9" s="326" t="s">
        <v>1913</v>
      </c>
      <c r="P9" s="326" t="s">
        <v>1914</v>
      </c>
      <c r="Q9" s="298" t="s">
        <v>1915</v>
      </c>
      <c r="AD9" s="9">
        <v>44003</v>
      </c>
      <c r="AE9" s="295" t="s">
        <v>1898</v>
      </c>
    </row>
    <row r="10" spans="1:31" ht="44.25" customHeight="1" x14ac:dyDescent="0.3">
      <c r="A10" s="326" t="s">
        <v>1908</v>
      </c>
      <c r="B10" s="331" t="s">
        <v>1892</v>
      </c>
      <c r="C10" s="327">
        <v>44000</v>
      </c>
      <c r="D10" s="332">
        <v>44001</v>
      </c>
      <c r="E10" s="326" t="s">
        <v>1893</v>
      </c>
      <c r="F10" s="327" t="s">
        <v>642</v>
      </c>
      <c r="G10" s="329" t="s">
        <v>384</v>
      </c>
      <c r="H10" s="328" t="s">
        <v>134</v>
      </c>
      <c r="I10" s="326" t="str">
        <f>CONCATENATE(Tabla1[[#This Row],['#Memorando /Correo Entrada]],"_",Tabla1[[#This Row],[Id_Indicador]])</f>
        <v>3-2020-12890_120B</v>
      </c>
      <c r="J10" s="326" t="s">
        <v>1905</v>
      </c>
      <c r="K10" s="326" t="s">
        <v>1916</v>
      </c>
      <c r="L10" s="328" t="s">
        <v>1917</v>
      </c>
      <c r="M10" s="328" t="s">
        <v>1918</v>
      </c>
      <c r="N10" s="328" t="s">
        <v>1919</v>
      </c>
      <c r="O10" s="298" t="s">
        <v>1920</v>
      </c>
      <c r="P10" s="298" t="s">
        <v>1921</v>
      </c>
      <c r="Q10" s="328" t="s">
        <v>1922</v>
      </c>
      <c r="R10" s="328" t="s">
        <v>1912</v>
      </c>
      <c r="S10" s="326" t="s">
        <v>1923</v>
      </c>
      <c r="T10" s="326" t="s">
        <v>1924</v>
      </c>
      <c r="U10" s="298" t="s">
        <v>1925</v>
      </c>
      <c r="V10" s="326" t="s">
        <v>1905</v>
      </c>
      <c r="W10" t="s">
        <v>1909</v>
      </c>
      <c r="X10" s="328" t="s">
        <v>1910</v>
      </c>
      <c r="Y10" s="328" t="s">
        <v>1911</v>
      </c>
      <c r="AD10" s="9">
        <v>44003</v>
      </c>
      <c r="AE10" s="295" t="s">
        <v>1898</v>
      </c>
    </row>
    <row r="11" spans="1:31" ht="87.75" customHeight="1" x14ac:dyDescent="0.3">
      <c r="A11" s="326" t="s">
        <v>1908</v>
      </c>
      <c r="B11" s="331" t="s">
        <v>1892</v>
      </c>
      <c r="C11" s="327">
        <v>44000</v>
      </c>
      <c r="D11" s="332">
        <v>44001</v>
      </c>
      <c r="E11" s="326" t="s">
        <v>1893</v>
      </c>
      <c r="F11" s="327" t="s">
        <v>642</v>
      </c>
      <c r="G11" s="329">
        <v>130</v>
      </c>
      <c r="H11" s="328" t="s">
        <v>117</v>
      </c>
      <c r="I11" s="326" t="str">
        <f>CONCATENATE(Tabla1[[#This Row],['#Memorando /Correo Entrada]],"_",Tabla1[[#This Row],[Id_Indicador]])</f>
        <v>3-2020-12890_130</v>
      </c>
      <c r="J11" s="326" t="s">
        <v>1905</v>
      </c>
      <c r="K11" s="326" t="s">
        <v>1926</v>
      </c>
      <c r="L11" s="328" t="s">
        <v>1927</v>
      </c>
      <c r="M11" s="328" t="s">
        <v>1928</v>
      </c>
      <c r="N11" s="328" t="s">
        <v>1929</v>
      </c>
      <c r="O11" s="328" t="s">
        <v>1929</v>
      </c>
      <c r="P11" s="328" t="s">
        <v>1930</v>
      </c>
      <c r="Q11" s="328" t="s">
        <v>1931</v>
      </c>
      <c r="R11" s="326" t="s">
        <v>1932</v>
      </c>
      <c r="S11" s="328" t="s">
        <v>1933</v>
      </c>
      <c r="T11" s="328" t="s">
        <v>1934</v>
      </c>
      <c r="U11" s="328" t="s">
        <v>1935</v>
      </c>
      <c r="V11" s="328" t="s">
        <v>1936</v>
      </c>
      <c r="W11" s="298" t="s">
        <v>1937</v>
      </c>
      <c r="X11" s="298" t="s">
        <v>1938</v>
      </c>
      <c r="Y11" s="328" t="s">
        <v>1939</v>
      </c>
      <c r="AD11" s="9">
        <v>44003</v>
      </c>
      <c r="AE11" s="295" t="s">
        <v>1898</v>
      </c>
    </row>
    <row r="12" spans="1:31" ht="87.75" customHeight="1" x14ac:dyDescent="0.3">
      <c r="A12" s="326" t="s">
        <v>1908</v>
      </c>
      <c r="B12" s="331"/>
      <c r="C12" s="327">
        <v>44001</v>
      </c>
      <c r="D12" s="332"/>
      <c r="E12" s="326" t="s">
        <v>1893</v>
      </c>
      <c r="F12" s="327" t="s">
        <v>642</v>
      </c>
      <c r="G12" s="329">
        <v>129</v>
      </c>
      <c r="H12" s="328" t="s">
        <v>117</v>
      </c>
      <c r="I12" s="326" t="str">
        <f>CONCATENATE(Tabla1[[#This Row],['#Memorando /Correo Entrada]],"_",Tabla1[[#This Row],[Id_Indicador]])</f>
        <v>3-2020-12890_129</v>
      </c>
      <c r="J12" s="326" t="s">
        <v>1905</v>
      </c>
      <c r="K12" s="326" t="s">
        <v>1940</v>
      </c>
      <c r="L12" s="326" t="s">
        <v>1940</v>
      </c>
      <c r="M12" s="328" t="s">
        <v>1941</v>
      </c>
      <c r="N12" s="328"/>
      <c r="O12" s="328"/>
      <c r="P12" s="328"/>
      <c r="Q12" s="328"/>
      <c r="R12" s="326"/>
      <c r="S12" s="328"/>
      <c r="T12" s="328"/>
      <c r="U12" s="328"/>
      <c r="V12" s="328"/>
      <c r="W12" s="298"/>
      <c r="X12" s="298"/>
      <c r="Y12" s="328"/>
      <c r="AD12" s="9">
        <v>44003</v>
      </c>
      <c r="AE12" s="295" t="s">
        <v>1898</v>
      </c>
    </row>
    <row r="13" spans="1:31" ht="43.2" x14ac:dyDescent="0.3">
      <c r="A13" s="330" t="s">
        <v>1942</v>
      </c>
      <c r="B13" s="331" t="s">
        <v>859</v>
      </c>
      <c r="C13" s="327">
        <v>44001</v>
      </c>
      <c r="D13" s="332" t="s">
        <v>859</v>
      </c>
      <c r="E13" s="326" t="s">
        <v>1893</v>
      </c>
      <c r="F13" s="332" t="s">
        <v>859</v>
      </c>
      <c r="G13" s="329" t="s">
        <v>349</v>
      </c>
      <c r="H13" s="328" t="s">
        <v>1943</v>
      </c>
      <c r="I13" s="326" t="str">
        <f>CONCATENATE(Tabla1[[#This Row],['#Memorando /Correo Entrada]],"_",Tabla1[[#This Row],[Id_Indicador]])</f>
        <v>3-2020-12982_184I</v>
      </c>
      <c r="J13" s="326" t="s">
        <v>1944</v>
      </c>
      <c r="K13" s="326"/>
      <c r="L13" s="328"/>
      <c r="M13" s="328" t="s">
        <v>1902</v>
      </c>
      <c r="N13" s="328"/>
      <c r="O13" s="328"/>
      <c r="P13" s="328"/>
      <c r="Q13" s="328"/>
      <c r="R13" s="326"/>
      <c r="S13" s="328"/>
      <c r="T13" s="328"/>
      <c r="U13" s="328"/>
      <c r="V13" s="328"/>
      <c r="W13" s="298"/>
      <c r="X13" s="298"/>
      <c r="Y13" s="328"/>
      <c r="AD13" s="9">
        <v>44003</v>
      </c>
      <c r="AE13" s="295" t="s">
        <v>1898</v>
      </c>
    </row>
    <row r="14" spans="1:31" ht="43.2" x14ac:dyDescent="0.3">
      <c r="A14" s="330" t="s">
        <v>1942</v>
      </c>
      <c r="B14" s="331" t="s">
        <v>859</v>
      </c>
      <c r="C14" s="327">
        <v>44001</v>
      </c>
      <c r="D14" s="332" t="s">
        <v>859</v>
      </c>
      <c r="E14" s="326" t="s">
        <v>1893</v>
      </c>
      <c r="F14" s="299" t="s">
        <v>859</v>
      </c>
      <c r="G14" s="329" t="s">
        <v>350</v>
      </c>
      <c r="H14" s="328" t="s">
        <v>1943</v>
      </c>
      <c r="I14" s="326" t="str">
        <f>CONCATENATE(Tabla1[[#This Row],['#Memorando /Correo Entrada]],"_",Tabla1[[#This Row],[Id_Indicador]])</f>
        <v>3-2020-12982_184M</v>
      </c>
      <c r="J14" s="326" t="s">
        <v>1944</v>
      </c>
      <c r="M14" s="326" t="s">
        <v>1902</v>
      </c>
      <c r="AD14" s="9">
        <v>44003</v>
      </c>
      <c r="AE14" s="295" t="s">
        <v>1898</v>
      </c>
    </row>
    <row r="15" spans="1:31" ht="72" x14ac:dyDescent="0.3">
      <c r="A15" t="s">
        <v>1892</v>
      </c>
      <c r="B15" s="300" t="s">
        <v>642</v>
      </c>
      <c r="C15" s="9">
        <v>44001</v>
      </c>
      <c r="D15" s="299" t="s">
        <v>642</v>
      </c>
      <c r="E15" t="s">
        <v>1945</v>
      </c>
      <c r="F15" s="9" t="s">
        <v>642</v>
      </c>
      <c r="G15" s="208" t="s">
        <v>1946</v>
      </c>
      <c r="H15" t="s">
        <v>163</v>
      </c>
      <c r="I15" t="str">
        <f>CONCATENATE(Tabla1[[#This Row],['#Memorando /Correo Entrada]],"_",Tabla1[[#This Row],[Id_Indicador]])</f>
        <v>Correo electrónico_160b</v>
      </c>
      <c r="J15" t="s">
        <v>1905</v>
      </c>
      <c r="K15" t="s">
        <v>642</v>
      </c>
      <c r="L15" t="s">
        <v>1947</v>
      </c>
      <c r="M15" s="298" t="s">
        <v>1948</v>
      </c>
      <c r="AD15" s="9">
        <v>44001</v>
      </c>
      <c r="AE15" s="295" t="s">
        <v>1898</v>
      </c>
    </row>
    <row r="16" spans="1:31" ht="72" x14ac:dyDescent="0.3">
      <c r="A16" t="s">
        <v>1892</v>
      </c>
      <c r="B16" s="300" t="s">
        <v>642</v>
      </c>
      <c r="C16" s="9">
        <v>44001</v>
      </c>
      <c r="D16" s="299" t="s">
        <v>642</v>
      </c>
      <c r="E16" t="s">
        <v>1945</v>
      </c>
      <c r="F16" s="9" t="s">
        <v>642</v>
      </c>
      <c r="G16" s="208">
        <v>125</v>
      </c>
      <c r="H16" t="s">
        <v>191</v>
      </c>
      <c r="I16" t="str">
        <f>CONCATENATE(Tabla1[[#This Row],['#Memorando /Correo Entrada]],"_",Tabla1[[#This Row],[Id_Indicador]])</f>
        <v>Correo electrónico_125</v>
      </c>
      <c r="J16" t="s">
        <v>1905</v>
      </c>
      <c r="K16" t="s">
        <v>642</v>
      </c>
      <c r="L16" t="s">
        <v>1947</v>
      </c>
      <c r="M16" s="298" t="s">
        <v>1949</v>
      </c>
      <c r="AD16" s="9">
        <v>44001</v>
      </c>
      <c r="AE16" s="295" t="s">
        <v>1898</v>
      </c>
    </row>
    <row r="17" spans="1:31" ht="129.6" x14ac:dyDescent="0.3">
      <c r="A17" t="s">
        <v>1892</v>
      </c>
      <c r="B17" s="300" t="s">
        <v>642</v>
      </c>
      <c r="C17" s="9">
        <v>44004</v>
      </c>
      <c r="D17" s="299" t="s">
        <v>642</v>
      </c>
      <c r="E17" s="326" t="s">
        <v>1893</v>
      </c>
      <c r="F17" s="9" t="s">
        <v>642</v>
      </c>
      <c r="G17" s="208" t="s">
        <v>377</v>
      </c>
      <c r="H17" t="s">
        <v>183</v>
      </c>
      <c r="I17" s="333" t="str">
        <f>CONCATENATE(Tabla1[[#This Row],['#Memorando /Correo Entrada]],"_",Tabla1[[#This Row],[Id_Indicador]])</f>
        <v>Correo electrónico_PAAC_43</v>
      </c>
      <c r="J17" t="s">
        <v>1905</v>
      </c>
      <c r="K17" t="s">
        <v>1950</v>
      </c>
      <c r="L17" s="298" t="s">
        <v>1951</v>
      </c>
      <c r="M17" s="298" t="s">
        <v>1952</v>
      </c>
      <c r="AD17" s="9">
        <v>44004</v>
      </c>
      <c r="AE17" s="295" t="s">
        <v>1898</v>
      </c>
    </row>
    <row r="18" spans="1:31" ht="86.4" x14ac:dyDescent="0.3">
      <c r="A18" t="s">
        <v>1892</v>
      </c>
      <c r="B18" s="300" t="s">
        <v>642</v>
      </c>
      <c r="C18" s="9">
        <v>44004</v>
      </c>
      <c r="D18" s="299" t="s">
        <v>642</v>
      </c>
      <c r="E18" s="326" t="s">
        <v>1893</v>
      </c>
      <c r="F18" s="9" t="s">
        <v>642</v>
      </c>
      <c r="G18" s="208" t="s">
        <v>378</v>
      </c>
      <c r="H18" t="s">
        <v>183</v>
      </c>
      <c r="I18" s="333" t="str">
        <f>CONCATENATE(Tabla1[[#This Row],['#Memorando /Correo Entrada]],"_",Tabla1[[#This Row],[Id_Indicador]])</f>
        <v>Correo electrónico_PAAC_47</v>
      </c>
      <c r="J18" t="s">
        <v>1905</v>
      </c>
      <c r="K18" t="s">
        <v>1953</v>
      </c>
      <c r="L18" s="298" t="s">
        <v>1954</v>
      </c>
      <c r="M18" s="298" t="s">
        <v>1955</v>
      </c>
      <c r="AD18" s="9">
        <v>44004</v>
      </c>
      <c r="AE18" s="295" t="s">
        <v>1898</v>
      </c>
    </row>
    <row r="19" spans="1:31" ht="28.8" x14ac:dyDescent="0.3">
      <c r="A19" s="298" t="s">
        <v>1956</v>
      </c>
      <c r="B19" s="300" t="s">
        <v>642</v>
      </c>
      <c r="C19" s="334" t="s">
        <v>1957</v>
      </c>
      <c r="D19" s="299" t="s">
        <v>642</v>
      </c>
      <c r="E19" s="326" t="s">
        <v>1893</v>
      </c>
      <c r="F19" s="9" t="s">
        <v>642</v>
      </c>
      <c r="G19" t="s">
        <v>371</v>
      </c>
      <c r="H19" t="s">
        <v>199</v>
      </c>
      <c r="I19" s="333" t="str">
        <f>CONCATENATE(Tabla1[[#This Row],['#Memorando /Correo Entrada]],"_",Tabla1[[#This Row],[Id_Indicador]])</f>
        <v>3-2020-9882
3-2020-12790_36A</v>
      </c>
      <c r="J19" s="326" t="s">
        <v>1944</v>
      </c>
      <c r="K19" s="326"/>
      <c r="L19" s="328"/>
      <c r="M19" s="328" t="s">
        <v>1902</v>
      </c>
      <c r="N19" s="328"/>
      <c r="O19" s="328"/>
      <c r="P19" s="328"/>
      <c r="Q19" s="328"/>
      <c r="R19" s="326"/>
      <c r="S19" s="328"/>
      <c r="T19" s="328"/>
      <c r="U19" s="328"/>
      <c r="V19" s="328"/>
      <c r="W19" s="298"/>
      <c r="X19" s="298"/>
      <c r="Y19" s="328"/>
      <c r="AD19" s="9">
        <v>44004</v>
      </c>
      <c r="AE19" s="295" t="s">
        <v>1898</v>
      </c>
    </row>
    <row r="20" spans="1:31" ht="28.8" x14ac:dyDescent="0.3">
      <c r="A20" s="298" t="s">
        <v>1956</v>
      </c>
      <c r="B20" s="300" t="s">
        <v>642</v>
      </c>
      <c r="C20" s="334" t="s">
        <v>1957</v>
      </c>
      <c r="D20" s="299" t="s">
        <v>642</v>
      </c>
      <c r="E20" s="326" t="s">
        <v>1893</v>
      </c>
      <c r="F20" s="9" t="s">
        <v>642</v>
      </c>
      <c r="G20">
        <v>37</v>
      </c>
      <c r="H20" t="s">
        <v>199</v>
      </c>
      <c r="I20" s="333" t="str">
        <f>CONCATENATE(Tabla1[[#This Row],['#Memorando /Correo Entrada]],"_",Tabla1[[#This Row],[Id_Indicador]])</f>
        <v>3-2020-9882
3-2020-12790_37</v>
      </c>
      <c r="J20" s="326" t="s">
        <v>1944</v>
      </c>
      <c r="M20" s="326" t="s">
        <v>1902</v>
      </c>
      <c r="AD20" s="9">
        <v>44004</v>
      </c>
      <c r="AE20" s="295" t="s">
        <v>1898</v>
      </c>
    </row>
    <row r="21" spans="1:31" x14ac:dyDescent="0.3">
      <c r="A21" t="s">
        <v>1958</v>
      </c>
      <c r="B21" s="300" t="s">
        <v>642</v>
      </c>
      <c r="C21" s="9">
        <v>43999</v>
      </c>
      <c r="D21" s="300" t="s">
        <v>642</v>
      </c>
      <c r="E21" s="326" t="s">
        <v>1893</v>
      </c>
      <c r="F21" s="9" t="s">
        <v>642</v>
      </c>
      <c r="G21" t="s">
        <v>366</v>
      </c>
      <c r="H21" t="s">
        <v>56</v>
      </c>
      <c r="I21" s="333" t="str">
        <f>CONCATENATE(Tabla1[[#This Row],['#Memorando /Correo Entrada]],"_",Tabla1[[#This Row],[Id_Indicador]])</f>
        <v>3-2020-12789_48A</v>
      </c>
      <c r="J21" t="s">
        <v>1905</v>
      </c>
      <c r="K21" t="s">
        <v>1959</v>
      </c>
      <c r="L21" t="s">
        <v>1960</v>
      </c>
      <c r="M21" t="s">
        <v>1961</v>
      </c>
      <c r="AD21" s="9">
        <v>44004</v>
      </c>
      <c r="AE21" s="295" t="s">
        <v>1898</v>
      </c>
    </row>
    <row r="22" spans="1:31" x14ac:dyDescent="0.3">
      <c r="A22" t="s">
        <v>1958</v>
      </c>
      <c r="B22" s="300" t="s">
        <v>642</v>
      </c>
      <c r="C22" s="9">
        <v>43999</v>
      </c>
      <c r="D22" s="300" t="s">
        <v>642</v>
      </c>
      <c r="E22" s="326" t="s">
        <v>1893</v>
      </c>
      <c r="F22" s="9" t="s">
        <v>642</v>
      </c>
      <c r="G22" t="s">
        <v>367</v>
      </c>
      <c r="H22" t="s">
        <v>56</v>
      </c>
      <c r="I22" s="333" t="str">
        <f>CONCATENATE(Tabla1[[#This Row],['#Memorando /Correo Entrada]],"_",Tabla1[[#This Row],[Id_Indicador]])</f>
        <v>3-2020-12789_48B</v>
      </c>
      <c r="J22" t="s">
        <v>1905</v>
      </c>
      <c r="K22" t="s">
        <v>1959</v>
      </c>
      <c r="L22" t="s">
        <v>1962</v>
      </c>
      <c r="M22" t="s">
        <v>1961</v>
      </c>
      <c r="AD22" s="9">
        <v>44004</v>
      </c>
      <c r="AE22" s="295" t="s">
        <v>1898</v>
      </c>
    </row>
    <row r="23" spans="1:31" x14ac:dyDescent="0.3">
      <c r="A23" t="s">
        <v>1958</v>
      </c>
      <c r="B23" s="300" t="s">
        <v>642</v>
      </c>
      <c r="C23" s="9">
        <v>43999</v>
      </c>
      <c r="D23" s="300" t="s">
        <v>642</v>
      </c>
      <c r="E23" s="326" t="s">
        <v>1893</v>
      </c>
      <c r="F23" s="9" t="s">
        <v>642</v>
      </c>
      <c r="G23">
        <v>49</v>
      </c>
      <c r="H23" t="s">
        <v>171</v>
      </c>
      <c r="I23" s="333" t="str">
        <f>CONCATENATE(Tabla1[[#This Row],['#Memorando /Correo Entrada]],"_",Tabla1[[#This Row],[Id_Indicador]])</f>
        <v>3-2020-12789_49</v>
      </c>
      <c r="J23" t="s">
        <v>1905</v>
      </c>
      <c r="K23" t="s">
        <v>1959</v>
      </c>
      <c r="L23" t="s">
        <v>1963</v>
      </c>
      <c r="M23" t="s">
        <v>1961</v>
      </c>
      <c r="AD23" s="9">
        <v>44004</v>
      </c>
      <c r="AE23" s="295" t="s">
        <v>1898</v>
      </c>
    </row>
    <row r="24" spans="1:31" ht="28.8" x14ac:dyDescent="0.3">
      <c r="A24" t="s">
        <v>1892</v>
      </c>
      <c r="B24" s="300" t="s">
        <v>642</v>
      </c>
      <c r="C24" s="9">
        <v>44001</v>
      </c>
      <c r="D24" s="299" t="s">
        <v>642</v>
      </c>
      <c r="E24" s="326" t="s">
        <v>1893</v>
      </c>
      <c r="F24" s="9" t="s">
        <v>642</v>
      </c>
      <c r="G24" t="s">
        <v>1162</v>
      </c>
      <c r="H24" t="s">
        <v>105</v>
      </c>
      <c r="I24" s="333" t="str">
        <f>CONCATENATE(Tabla1[[#This Row],['#Memorando /Correo Entrada]],"_",Tabla1[[#This Row],[Id_Indicador]])</f>
        <v>Correo electrónico_02_PAAC</v>
      </c>
      <c r="J24" t="s">
        <v>1905</v>
      </c>
      <c r="K24" s="298" t="s">
        <v>1964</v>
      </c>
      <c r="L24" s="298" t="s">
        <v>1965</v>
      </c>
      <c r="M24" s="298" t="s">
        <v>1966</v>
      </c>
      <c r="AD24" s="9">
        <v>44004</v>
      </c>
      <c r="AE24" s="295" t="s">
        <v>1898</v>
      </c>
    </row>
    <row r="25" spans="1:31" ht="28.8" x14ac:dyDescent="0.3">
      <c r="A25" s="298" t="s">
        <v>1892</v>
      </c>
      <c r="B25" s="300" t="s">
        <v>642</v>
      </c>
      <c r="C25" s="9">
        <v>44001</v>
      </c>
      <c r="D25" s="299" t="s">
        <v>642</v>
      </c>
      <c r="E25" s="326" t="s">
        <v>1893</v>
      </c>
      <c r="F25" s="9" t="s">
        <v>642</v>
      </c>
      <c r="G25" t="s">
        <v>1192</v>
      </c>
      <c r="H25" t="s">
        <v>105</v>
      </c>
      <c r="I25" s="333" t="str">
        <f>CONCATENATE(Tabla1[[#This Row],['#Memorando /Correo Entrada]],"_",Tabla1[[#This Row],[Id_Indicador]])</f>
        <v>Correo electrónico_06_PAAC</v>
      </c>
      <c r="J25" t="s">
        <v>1905</v>
      </c>
      <c r="K25" s="298" t="s">
        <v>1967</v>
      </c>
      <c r="L25" t="s">
        <v>1968</v>
      </c>
      <c r="M25" s="298" t="s">
        <v>1966</v>
      </c>
      <c r="AD25" s="9">
        <v>44004</v>
      </c>
      <c r="AE25" s="295" t="s">
        <v>1898</v>
      </c>
    </row>
    <row r="26" spans="1:31" ht="28.8" x14ac:dyDescent="0.3">
      <c r="A26" s="298" t="s">
        <v>1969</v>
      </c>
      <c r="B26" s="300" t="s">
        <v>642</v>
      </c>
      <c r="C26" s="334" t="s">
        <v>1970</v>
      </c>
      <c r="D26" s="299" t="s">
        <v>642</v>
      </c>
      <c r="E26" s="326" t="s">
        <v>1893</v>
      </c>
      <c r="F26" s="9" t="s">
        <v>642</v>
      </c>
      <c r="G26" t="s">
        <v>351</v>
      </c>
      <c r="H26" t="s">
        <v>146</v>
      </c>
      <c r="I26" s="333" t="str">
        <f>CONCATENATE(Tabla1[[#This Row],['#Memorando /Correo Entrada]],"_",Tabla1[[#This Row],[Id_Indicador]])</f>
        <v>3-2020-12829
Correo electrónico_174A</v>
      </c>
      <c r="J26" t="s">
        <v>1905</v>
      </c>
      <c r="K26" t="s">
        <v>1971</v>
      </c>
      <c r="L26" s="328" t="s">
        <v>1972</v>
      </c>
      <c r="M26" t="s">
        <v>1973</v>
      </c>
      <c r="N26" t="s">
        <v>1905</v>
      </c>
      <c r="O26" t="s">
        <v>1974</v>
      </c>
      <c r="P26" t="s">
        <v>1975</v>
      </c>
      <c r="Q26" t="s">
        <v>1973</v>
      </c>
      <c r="AD26" s="9">
        <v>44004</v>
      </c>
      <c r="AE26" s="295" t="s">
        <v>1898</v>
      </c>
    </row>
    <row r="27" spans="1:31" ht="28.8" x14ac:dyDescent="0.3">
      <c r="A27" s="298" t="s">
        <v>1969</v>
      </c>
      <c r="B27" s="300" t="s">
        <v>642</v>
      </c>
      <c r="C27" s="334" t="s">
        <v>1970</v>
      </c>
      <c r="D27" s="299" t="s">
        <v>642</v>
      </c>
      <c r="E27" s="326" t="s">
        <v>1893</v>
      </c>
      <c r="F27" s="9" t="s">
        <v>642</v>
      </c>
      <c r="G27" t="s">
        <v>354</v>
      </c>
      <c r="H27" t="s">
        <v>146</v>
      </c>
      <c r="I27" s="333" t="str">
        <f>CONCATENATE(Tabla1[[#This Row],['#Memorando /Correo Entrada]],"_",Tabla1[[#This Row],[Id_Indicador]])</f>
        <v>3-2020-12829
Correo electrónico_174B</v>
      </c>
      <c r="J27" t="s">
        <v>1905</v>
      </c>
      <c r="K27" t="s">
        <v>1909</v>
      </c>
      <c r="L27" s="328" t="s">
        <v>1910</v>
      </c>
      <c r="M27" t="s">
        <v>1973</v>
      </c>
      <c r="N27" t="s">
        <v>1905</v>
      </c>
      <c r="O27" t="s">
        <v>1974</v>
      </c>
      <c r="P27" t="s">
        <v>1975</v>
      </c>
      <c r="Q27" t="s">
        <v>1973</v>
      </c>
      <c r="AD27" s="9">
        <v>44004</v>
      </c>
      <c r="AE27" s="295" t="s">
        <v>1898</v>
      </c>
    </row>
    <row r="28" spans="1:31" ht="28.8" x14ac:dyDescent="0.3">
      <c r="A28" s="298" t="s">
        <v>1969</v>
      </c>
      <c r="B28" s="300" t="s">
        <v>642</v>
      </c>
      <c r="C28" s="334" t="s">
        <v>1970</v>
      </c>
      <c r="D28" s="299" t="s">
        <v>642</v>
      </c>
      <c r="E28" s="326" t="s">
        <v>1893</v>
      </c>
      <c r="F28" s="9" t="s">
        <v>642</v>
      </c>
      <c r="G28" t="s">
        <v>355</v>
      </c>
      <c r="H28" t="s">
        <v>146</v>
      </c>
      <c r="I28" s="333" t="str">
        <f>CONCATENATE(Tabla1[[#This Row],['#Memorando /Correo Entrada]],"_",Tabla1[[#This Row],[Id_Indicador]])</f>
        <v>3-2020-12829
Correo electrónico_174C</v>
      </c>
      <c r="J28" t="s">
        <v>1905</v>
      </c>
      <c r="K28" t="s">
        <v>1971</v>
      </c>
      <c r="L28" s="328" t="s">
        <v>1972</v>
      </c>
      <c r="M28" t="s">
        <v>1973</v>
      </c>
      <c r="N28" t="s">
        <v>1905</v>
      </c>
      <c r="O28" t="s">
        <v>1974</v>
      </c>
      <c r="P28" t="s">
        <v>1975</v>
      </c>
      <c r="Q28" t="s">
        <v>1973</v>
      </c>
      <c r="AD28" s="9">
        <v>44004</v>
      </c>
      <c r="AE28" s="295" t="s">
        <v>1898</v>
      </c>
    </row>
    <row r="29" spans="1:31" ht="28.8" x14ac:dyDescent="0.3">
      <c r="A29" s="298" t="s">
        <v>1969</v>
      </c>
      <c r="B29" s="300" t="s">
        <v>642</v>
      </c>
      <c r="C29" s="334" t="s">
        <v>1970</v>
      </c>
      <c r="D29" s="299" t="s">
        <v>642</v>
      </c>
      <c r="E29" s="326" t="s">
        <v>1893</v>
      </c>
      <c r="F29" s="9" t="s">
        <v>642</v>
      </c>
      <c r="G29" t="s">
        <v>356</v>
      </c>
      <c r="H29" t="s">
        <v>146</v>
      </c>
      <c r="I29" s="333" t="str">
        <f>CONCATENATE(Tabla1[[#This Row],['#Memorando /Correo Entrada]],"_",Tabla1[[#This Row],[Id_Indicador]])</f>
        <v>3-2020-12829
Correo electrónico_174D</v>
      </c>
      <c r="J29" t="s">
        <v>1905</v>
      </c>
      <c r="K29" t="s">
        <v>1971</v>
      </c>
      <c r="L29" s="328" t="s">
        <v>1972</v>
      </c>
      <c r="M29" t="s">
        <v>1973</v>
      </c>
      <c r="N29" t="s">
        <v>1905</v>
      </c>
      <c r="O29" t="s">
        <v>1974</v>
      </c>
      <c r="P29" t="s">
        <v>1975</v>
      </c>
      <c r="Q29" t="s">
        <v>1973</v>
      </c>
      <c r="AD29" s="9">
        <v>44004</v>
      </c>
      <c r="AE29" s="295" t="s">
        <v>1898</v>
      </c>
    </row>
    <row r="30" spans="1:31" ht="28.8" x14ac:dyDescent="0.3">
      <c r="A30" s="298" t="s">
        <v>1969</v>
      </c>
      <c r="B30" s="300" t="s">
        <v>642</v>
      </c>
      <c r="C30" s="334" t="s">
        <v>1970</v>
      </c>
      <c r="D30" s="299" t="s">
        <v>642</v>
      </c>
      <c r="E30" s="326" t="s">
        <v>1893</v>
      </c>
      <c r="F30" s="9" t="s">
        <v>642</v>
      </c>
      <c r="G30" t="s">
        <v>357</v>
      </c>
      <c r="H30" t="s">
        <v>146</v>
      </c>
      <c r="I30" s="333" t="str">
        <f>CONCATENATE(Tabla1[[#This Row],['#Memorando /Correo Entrada]],"_",Tabla1[[#This Row],[Id_Indicador]])</f>
        <v>3-2020-12829
Correo electrónico_174E</v>
      </c>
      <c r="J30" t="s">
        <v>1905</v>
      </c>
      <c r="K30" t="s">
        <v>1971</v>
      </c>
      <c r="L30" s="328" t="s">
        <v>1972</v>
      </c>
      <c r="M30" t="s">
        <v>1973</v>
      </c>
      <c r="N30" t="s">
        <v>1905</v>
      </c>
      <c r="O30" t="s">
        <v>1974</v>
      </c>
      <c r="P30" t="s">
        <v>1975</v>
      </c>
      <c r="Q30" t="s">
        <v>1973</v>
      </c>
      <c r="AD30" s="9">
        <v>44004</v>
      </c>
      <c r="AE30" s="295" t="s">
        <v>1898</v>
      </c>
    </row>
    <row r="31" spans="1:31" x14ac:dyDescent="0.3">
      <c r="A31" t="s">
        <v>1892</v>
      </c>
      <c r="B31" s="300" t="s">
        <v>642</v>
      </c>
      <c r="C31" s="9">
        <v>44001</v>
      </c>
      <c r="D31" s="299" t="s">
        <v>642</v>
      </c>
      <c r="E31" s="326" t="s">
        <v>1893</v>
      </c>
      <c r="F31" s="9" t="s">
        <v>642</v>
      </c>
      <c r="G31" t="s">
        <v>363</v>
      </c>
      <c r="H31" t="s">
        <v>99</v>
      </c>
      <c r="I31" s="333" t="str">
        <f>CONCATENATE(Tabla1[[#This Row],['#Memorando /Correo Entrada]],"_",Tabla1[[#This Row],[Id_Indicador]])</f>
        <v>Correo electrónico_31P</v>
      </c>
      <c r="J31" t="s">
        <v>1905</v>
      </c>
      <c r="K31" t="s">
        <v>1976</v>
      </c>
      <c r="L31" t="s">
        <v>42</v>
      </c>
      <c r="M31" t="s">
        <v>1973</v>
      </c>
      <c r="AD31" s="9">
        <v>44004</v>
      </c>
      <c r="AE31" s="295" t="s">
        <v>1898</v>
      </c>
    </row>
    <row r="32" spans="1:31" x14ac:dyDescent="0.3">
      <c r="A32" t="s">
        <v>1892</v>
      </c>
      <c r="B32" s="300" t="s">
        <v>642</v>
      </c>
      <c r="C32" s="9">
        <v>44001</v>
      </c>
      <c r="D32" s="299" t="s">
        <v>642</v>
      </c>
      <c r="E32" s="326" t="s">
        <v>1893</v>
      </c>
      <c r="F32" s="9" t="s">
        <v>642</v>
      </c>
      <c r="G32" t="s">
        <v>365</v>
      </c>
      <c r="H32" t="s">
        <v>99</v>
      </c>
      <c r="I32" s="333" t="str">
        <f>CONCATENATE(Tabla1[[#This Row],['#Memorando /Correo Entrada]],"_",Tabla1[[#This Row],[Id_Indicador]])</f>
        <v>Correo electrónico_31Q</v>
      </c>
      <c r="J32" t="s">
        <v>1905</v>
      </c>
      <c r="K32" t="s">
        <v>1976</v>
      </c>
      <c r="L32" t="s">
        <v>42</v>
      </c>
      <c r="M32" t="s">
        <v>1973</v>
      </c>
      <c r="AD32" s="9">
        <v>44004</v>
      </c>
      <c r="AE32" s="295" t="s">
        <v>1898</v>
      </c>
    </row>
    <row r="33" spans="1:31" ht="15" customHeight="1" x14ac:dyDescent="0.3">
      <c r="A33" t="s">
        <v>1892</v>
      </c>
      <c r="B33" t="s">
        <v>1892</v>
      </c>
      <c r="C33" s="9">
        <v>44006</v>
      </c>
      <c r="D33" s="9">
        <v>44006</v>
      </c>
      <c r="E33" s="326" t="s">
        <v>1893</v>
      </c>
      <c r="F33" s="9" t="s">
        <v>642</v>
      </c>
      <c r="G33">
        <v>21</v>
      </c>
      <c r="H33" t="s">
        <v>179</v>
      </c>
      <c r="I33" s="333" t="str">
        <f>CONCATENATE(Tabla1[[#This Row],['#Memorando /Correo Entrada]],"_",Tabla1[[#This Row],[Id_Indicador]])</f>
        <v>Correo electrónico_21</v>
      </c>
      <c r="J33" t="s">
        <v>1905</v>
      </c>
      <c r="K33" t="s">
        <v>1977</v>
      </c>
      <c r="L33" t="s">
        <v>1978</v>
      </c>
      <c r="M33" s="298" t="s">
        <v>1979</v>
      </c>
      <c r="AD33" s="9">
        <v>44006</v>
      </c>
      <c r="AE33" s="295" t="s">
        <v>1898</v>
      </c>
    </row>
    <row r="34" spans="1:31" ht="18" customHeight="1" x14ac:dyDescent="0.3">
      <c r="A34" t="s">
        <v>1892</v>
      </c>
      <c r="B34" t="s">
        <v>1892</v>
      </c>
      <c r="C34" s="9">
        <v>44006</v>
      </c>
      <c r="D34" s="9">
        <v>44006</v>
      </c>
      <c r="E34" s="326" t="s">
        <v>1893</v>
      </c>
      <c r="F34" s="9" t="s">
        <v>642</v>
      </c>
      <c r="G34">
        <v>22</v>
      </c>
      <c r="H34" t="s">
        <v>175</v>
      </c>
      <c r="I34" s="333" t="str">
        <f>CONCATENATE(Tabla1[[#This Row],['#Memorando /Correo Entrada]],"_",Tabla1[[#This Row],[Id_Indicador]])</f>
        <v>Correo electrónico_22</v>
      </c>
      <c r="J34" t="s">
        <v>1905</v>
      </c>
      <c r="K34" t="s">
        <v>1977</v>
      </c>
      <c r="L34" t="s">
        <v>1978</v>
      </c>
      <c r="M34" s="298" t="s">
        <v>1979</v>
      </c>
      <c r="AD34" s="9">
        <v>44006</v>
      </c>
      <c r="AE34" s="295" t="s">
        <v>1898</v>
      </c>
    </row>
    <row r="35" spans="1:31" ht="18" customHeight="1" x14ac:dyDescent="0.3">
      <c r="A35" t="s">
        <v>1892</v>
      </c>
      <c r="B35" t="s">
        <v>1892</v>
      </c>
      <c r="C35" s="9">
        <v>44012</v>
      </c>
      <c r="D35" s="9">
        <v>44018</v>
      </c>
      <c r="E35" s="326" t="s">
        <v>1893</v>
      </c>
      <c r="F35" s="9" t="s">
        <v>642</v>
      </c>
      <c r="G35">
        <v>65</v>
      </c>
      <c r="H35" t="s">
        <v>183</v>
      </c>
      <c r="I35" s="333" t="str">
        <f>CONCATENATE(Tabla1[[#This Row],['#Memorando /Correo Entrada]],"_",Tabla1[[#This Row],[Id_Indicador]])</f>
        <v>Correo electrónico_65</v>
      </c>
      <c r="J35" t="s">
        <v>1905</v>
      </c>
      <c r="K35" t="s">
        <v>1980</v>
      </c>
      <c r="L35" t="s">
        <v>1981</v>
      </c>
      <c r="M35" s="298" t="s">
        <v>1982</v>
      </c>
      <c r="AD35" s="9">
        <v>44018</v>
      </c>
      <c r="AE35" s="295" t="s">
        <v>1898</v>
      </c>
    </row>
    <row r="36" spans="1:31" ht="18" customHeight="1" x14ac:dyDescent="0.3">
      <c r="A36" t="s">
        <v>1892</v>
      </c>
      <c r="B36" t="s">
        <v>1892</v>
      </c>
      <c r="C36" s="9">
        <v>44012</v>
      </c>
      <c r="D36" s="9">
        <v>44018</v>
      </c>
      <c r="E36" s="326" t="s">
        <v>1893</v>
      </c>
      <c r="F36" s="9" t="s">
        <v>642</v>
      </c>
      <c r="G36">
        <v>66</v>
      </c>
      <c r="H36" t="s">
        <v>183</v>
      </c>
      <c r="I36" s="333" t="str">
        <f>CONCATENATE(Tabla1[[#This Row],['#Memorando /Correo Entrada]],"_",Tabla1[[#This Row],[Id_Indicador]])</f>
        <v>Correo electrónico_66</v>
      </c>
      <c r="J36" t="s">
        <v>1905</v>
      </c>
      <c r="K36" t="s">
        <v>1980</v>
      </c>
      <c r="L36" t="s">
        <v>1983</v>
      </c>
      <c r="M36" s="298" t="s">
        <v>1982</v>
      </c>
      <c r="AD36" s="9">
        <v>44018</v>
      </c>
      <c r="AE36" s="295" t="s">
        <v>1898</v>
      </c>
    </row>
    <row r="37" spans="1:31" ht="18" customHeight="1" x14ac:dyDescent="0.3">
      <c r="A37" t="s">
        <v>1892</v>
      </c>
      <c r="B37" t="s">
        <v>1892</v>
      </c>
      <c r="C37" s="9">
        <v>44012</v>
      </c>
      <c r="D37" s="9">
        <v>44018</v>
      </c>
      <c r="E37" s="326" t="s">
        <v>1893</v>
      </c>
      <c r="F37" s="9" t="s">
        <v>642</v>
      </c>
      <c r="G37">
        <v>67</v>
      </c>
      <c r="H37" t="s">
        <v>183</v>
      </c>
      <c r="I37" s="333" t="str">
        <f>CONCATENATE(Tabla1[[#This Row],['#Memorando /Correo Entrada]],"_",Tabla1[[#This Row],[Id_Indicador]])</f>
        <v>Correo electrónico_67</v>
      </c>
      <c r="J37" t="s">
        <v>1905</v>
      </c>
      <c r="K37" t="s">
        <v>1980</v>
      </c>
      <c r="L37" t="s">
        <v>1984</v>
      </c>
      <c r="M37" s="298" t="s">
        <v>1982</v>
      </c>
      <c r="AD37" s="9">
        <v>44018</v>
      </c>
      <c r="AE37" s="295" t="s">
        <v>1898</v>
      </c>
    </row>
    <row r="38" spans="1:31" ht="18" customHeight="1" x14ac:dyDescent="0.3">
      <c r="A38" t="s">
        <v>1892</v>
      </c>
      <c r="B38" t="s">
        <v>1892</v>
      </c>
      <c r="C38" s="9">
        <v>44012</v>
      </c>
      <c r="D38" s="9">
        <v>44018</v>
      </c>
      <c r="E38" s="326" t="s">
        <v>1893</v>
      </c>
      <c r="F38" s="9" t="s">
        <v>642</v>
      </c>
      <c r="G38" t="s">
        <v>377</v>
      </c>
      <c r="H38" t="s">
        <v>183</v>
      </c>
      <c r="I38" s="333" t="str">
        <f>CONCATENATE(Tabla1[[#This Row],['#Memorando /Correo Entrada]],"_",Tabla1[[#This Row],[Id_Indicador]])</f>
        <v>Correo electrónico_PAAC_43</v>
      </c>
      <c r="J38" t="s">
        <v>1905</v>
      </c>
      <c r="K38" t="s">
        <v>1985</v>
      </c>
      <c r="L38" t="s">
        <v>1986</v>
      </c>
      <c r="M38" s="298" t="s">
        <v>1987</v>
      </c>
      <c r="AD38" s="9">
        <v>44018</v>
      </c>
      <c r="AE38" s="295" t="s">
        <v>1898</v>
      </c>
    </row>
    <row r="39" spans="1:31" ht="18" customHeight="1" x14ac:dyDescent="0.3">
      <c r="A39" t="s">
        <v>1892</v>
      </c>
      <c r="B39" t="s">
        <v>1892</v>
      </c>
      <c r="C39" s="9">
        <v>44012</v>
      </c>
      <c r="D39" s="9">
        <v>44018</v>
      </c>
      <c r="E39" s="326" t="s">
        <v>1893</v>
      </c>
      <c r="F39" s="9" t="s">
        <v>642</v>
      </c>
      <c r="G39" t="s">
        <v>378</v>
      </c>
      <c r="H39" t="s">
        <v>183</v>
      </c>
      <c r="I39" s="333" t="str">
        <f>CONCATENATE(Tabla1[[#This Row],['#Memorando /Correo Entrada]],"_",Tabla1[[#This Row],[Id_Indicador]])</f>
        <v>Correo electrónico_PAAC_47</v>
      </c>
      <c r="J39" t="s">
        <v>1905</v>
      </c>
      <c r="K39" t="s">
        <v>1985</v>
      </c>
      <c r="L39" t="s">
        <v>1986</v>
      </c>
      <c r="M39" s="298" t="s">
        <v>1987</v>
      </c>
      <c r="AD39" s="9">
        <v>44018</v>
      </c>
      <c r="AE39" s="295" t="s">
        <v>1898</v>
      </c>
    </row>
    <row r="40" spans="1:31" ht="28.8" x14ac:dyDescent="0.3">
      <c r="A40" t="s">
        <v>1892</v>
      </c>
      <c r="B40" t="s">
        <v>1892</v>
      </c>
      <c r="C40" s="334" t="s">
        <v>1988</v>
      </c>
      <c r="D40" s="9">
        <v>44018</v>
      </c>
      <c r="E40" s="326" t="s">
        <v>1893</v>
      </c>
      <c r="F40" s="9" t="s">
        <v>642</v>
      </c>
      <c r="G40">
        <v>87</v>
      </c>
      <c r="H40" t="s">
        <v>187</v>
      </c>
      <c r="I40" s="333" t="str">
        <f>CONCATENATE(Tabla1[[#This Row],['#Memorando /Correo Entrada]],"_",Tabla1[[#This Row],[Id_Indicador]])</f>
        <v>Correo electrónico_87</v>
      </c>
      <c r="J40" t="s">
        <v>1905</v>
      </c>
      <c r="K40" t="s">
        <v>1989</v>
      </c>
      <c r="L40" t="s">
        <v>1990</v>
      </c>
      <c r="M40" t="s">
        <v>1991</v>
      </c>
      <c r="N40" t="s">
        <v>1905</v>
      </c>
      <c r="O40" t="s">
        <v>1992</v>
      </c>
      <c r="P40" t="s">
        <v>1924</v>
      </c>
      <c r="Q40" t="s">
        <v>1973</v>
      </c>
      <c r="AD40" s="9">
        <v>44018</v>
      </c>
      <c r="AE40" s="295" t="s">
        <v>1898</v>
      </c>
    </row>
    <row r="41" spans="1:31" ht="28.8" x14ac:dyDescent="0.3">
      <c r="A41" t="s">
        <v>1892</v>
      </c>
      <c r="B41" t="s">
        <v>1892</v>
      </c>
      <c r="C41" s="334" t="s">
        <v>1988</v>
      </c>
      <c r="D41" s="9">
        <v>44018</v>
      </c>
      <c r="E41" s="326" t="s">
        <v>1893</v>
      </c>
      <c r="F41" s="9" t="s">
        <v>642</v>
      </c>
      <c r="G41" t="s">
        <v>374</v>
      </c>
      <c r="I41" s="333" t="str">
        <f>CONCATENATE(Tabla1[[#This Row],['#Memorando /Correo Entrada]],"_",Tabla1[[#This Row],[Id_Indicador]])</f>
        <v>Correo electrónico_56A</v>
      </c>
      <c r="J41" t="s">
        <v>1905</v>
      </c>
      <c r="K41" t="s">
        <v>1993</v>
      </c>
      <c r="L41" t="s">
        <v>1990</v>
      </c>
      <c r="M41" t="s">
        <v>1991</v>
      </c>
      <c r="AD41" s="9">
        <v>44018</v>
      </c>
      <c r="AE41" s="295" t="s">
        <v>1898</v>
      </c>
    </row>
    <row r="42" spans="1:31" x14ac:dyDescent="0.3">
      <c r="A42" t="s">
        <v>1994</v>
      </c>
      <c r="B42" t="s">
        <v>642</v>
      </c>
      <c r="C42" s="9">
        <v>43999</v>
      </c>
      <c r="D42" s="9" t="s">
        <v>642</v>
      </c>
      <c r="E42" s="326" t="s">
        <v>1893</v>
      </c>
      <c r="F42" s="9" t="s">
        <v>642</v>
      </c>
      <c r="G42">
        <v>126</v>
      </c>
      <c r="I42" s="333" t="str">
        <f>CONCATENATE(Tabla1[[#This Row],['#Memorando /Correo Entrada]],"_",Tabla1[[#This Row],[Id_Indicador]])</f>
        <v>3-2020-12797_126</v>
      </c>
      <c r="J42" t="s">
        <v>1905</v>
      </c>
      <c r="K42" t="s">
        <v>1995</v>
      </c>
      <c r="L42" t="s">
        <v>1996</v>
      </c>
      <c r="M42" t="s">
        <v>1973</v>
      </c>
      <c r="AD42" s="9">
        <v>44018</v>
      </c>
      <c r="AE42" s="295" t="s">
        <v>1898</v>
      </c>
    </row>
    <row r="43" spans="1:31" ht="28.8" x14ac:dyDescent="0.3">
      <c r="A43" s="298" t="s">
        <v>1997</v>
      </c>
      <c r="B43" t="s">
        <v>1892</v>
      </c>
      <c r="C43" s="334" t="s">
        <v>1998</v>
      </c>
      <c r="D43" s="9">
        <v>44022</v>
      </c>
      <c r="E43" s="326" t="s">
        <v>1893</v>
      </c>
      <c r="F43" s="9" t="s">
        <v>642</v>
      </c>
      <c r="G43" t="s">
        <v>376</v>
      </c>
      <c r="H43" t="s">
        <v>127</v>
      </c>
      <c r="I43" s="333" t="str">
        <f>CONCATENATE(Tabla1[[#This Row],['#Memorando /Correo Entrada]],"_",Tabla1[[#This Row],[Id_Indicador]])</f>
        <v>3-2020-9831
3-2020-13883_78A</v>
      </c>
      <c r="J43" t="s">
        <v>1901</v>
      </c>
      <c r="M43" s="328" t="s">
        <v>1902</v>
      </c>
      <c r="AD43" s="9">
        <v>44022</v>
      </c>
      <c r="AE43" s="295" t="s">
        <v>1898</v>
      </c>
    </row>
    <row r="44" spans="1:31" x14ac:dyDescent="0.3">
      <c r="A44" t="s">
        <v>1892</v>
      </c>
      <c r="B44" t="s">
        <v>1892</v>
      </c>
      <c r="C44" s="9">
        <v>44019</v>
      </c>
      <c r="D44" s="9">
        <v>44022</v>
      </c>
      <c r="E44" s="326" t="s">
        <v>1893</v>
      </c>
      <c r="F44" s="9" t="s">
        <v>642</v>
      </c>
      <c r="G44">
        <v>153</v>
      </c>
      <c r="H44" t="s">
        <v>155</v>
      </c>
      <c r="I44" s="333" t="str">
        <f>CONCATENATE(Tabla1[[#This Row],['#Memorando /Correo Entrada]],"_",Tabla1[[#This Row],[Id_Indicador]])</f>
        <v>Correo electrónico_153</v>
      </c>
      <c r="J44" t="s">
        <v>1905</v>
      </c>
      <c r="K44" t="s">
        <v>1999</v>
      </c>
      <c r="L44" t="s">
        <v>1999</v>
      </c>
      <c r="M44" t="s">
        <v>2000</v>
      </c>
      <c r="AD44" s="9">
        <v>44022</v>
      </c>
      <c r="AE44" s="295" t="s">
        <v>1898</v>
      </c>
    </row>
    <row r="45" spans="1:31" x14ac:dyDescent="0.3">
      <c r="A45" t="s">
        <v>1892</v>
      </c>
      <c r="B45" t="s">
        <v>1892</v>
      </c>
      <c r="C45" s="9">
        <v>44019</v>
      </c>
      <c r="D45" s="9">
        <v>44022</v>
      </c>
      <c r="E45" s="326" t="s">
        <v>1893</v>
      </c>
      <c r="F45" s="9" t="s">
        <v>642</v>
      </c>
      <c r="G45">
        <v>154</v>
      </c>
      <c r="H45" t="s">
        <v>155</v>
      </c>
      <c r="I45" s="333" t="str">
        <f>CONCATENATE(Tabla1[[#This Row],['#Memorando /Correo Entrada]],"_",Tabla1[[#This Row],[Id_Indicador]])</f>
        <v>Correo electrónico_154</v>
      </c>
      <c r="J45" t="s">
        <v>1905</v>
      </c>
      <c r="K45" t="s">
        <v>1999</v>
      </c>
      <c r="L45" t="s">
        <v>1999</v>
      </c>
      <c r="M45" t="s">
        <v>2001</v>
      </c>
      <c r="AD45" s="9">
        <v>44022</v>
      </c>
      <c r="AE45" s="295" t="s">
        <v>1898</v>
      </c>
    </row>
    <row r="46" spans="1:31" x14ac:dyDescent="0.3">
      <c r="A46" t="s">
        <v>1892</v>
      </c>
      <c r="B46" t="s">
        <v>1892</v>
      </c>
      <c r="C46" s="9">
        <v>44019</v>
      </c>
      <c r="D46" s="9">
        <v>44022</v>
      </c>
      <c r="E46" s="326" t="s">
        <v>1893</v>
      </c>
      <c r="F46" s="9" t="s">
        <v>642</v>
      </c>
      <c r="G46">
        <v>159</v>
      </c>
      <c r="H46" t="s">
        <v>155</v>
      </c>
      <c r="I46" s="333" t="str">
        <f>CONCATENATE(Tabla1[[#This Row],['#Memorando /Correo Entrada]],"_",Tabla1[[#This Row],[Id_Indicador]])</f>
        <v>Correo electrónico_159</v>
      </c>
      <c r="J46" t="s">
        <v>1905</v>
      </c>
      <c r="K46" t="s">
        <v>2002</v>
      </c>
      <c r="L46" t="s">
        <v>2002</v>
      </c>
      <c r="M46" t="s">
        <v>2003</v>
      </c>
      <c r="AD46" s="9">
        <v>44022</v>
      </c>
      <c r="AE46" s="295" t="s">
        <v>1898</v>
      </c>
    </row>
  </sheetData>
  <phoneticPr fontId="11" type="noConversion"/>
  <conditionalFormatting sqref="AE2:AE17">
    <cfRule type="cellIs" dxfId="31" priority="23" operator="equal">
      <formula>"Aplicado"</formula>
    </cfRule>
    <cfRule type="cellIs" dxfId="30" priority="24" operator="equal">
      <formula>"Pendiente"</formula>
    </cfRule>
  </conditionalFormatting>
  <conditionalFormatting sqref="AE18">
    <cfRule type="cellIs" dxfId="29" priority="21" operator="equal">
      <formula>"Aplicado"</formula>
    </cfRule>
    <cfRule type="cellIs" dxfId="28" priority="22" operator="equal">
      <formula>"Pendiente"</formula>
    </cfRule>
  </conditionalFormatting>
  <conditionalFormatting sqref="AE19:AE20">
    <cfRule type="cellIs" dxfId="27" priority="19" operator="equal">
      <formula>"Aplicado"</formula>
    </cfRule>
    <cfRule type="cellIs" dxfId="26" priority="20" operator="equal">
      <formula>"Pendiente"</formula>
    </cfRule>
  </conditionalFormatting>
  <conditionalFormatting sqref="AE21:AE23">
    <cfRule type="cellIs" dxfId="25" priority="17" operator="equal">
      <formula>"Aplicado"</formula>
    </cfRule>
    <cfRule type="cellIs" dxfId="24" priority="18" operator="equal">
      <formula>"Pendiente"</formula>
    </cfRule>
  </conditionalFormatting>
  <conditionalFormatting sqref="AE24:AE25">
    <cfRule type="cellIs" dxfId="23" priority="15" operator="equal">
      <formula>"Aplicado"</formula>
    </cfRule>
    <cfRule type="cellIs" dxfId="22" priority="16" operator="equal">
      <formula>"Pendiente"</formula>
    </cfRule>
  </conditionalFormatting>
  <conditionalFormatting sqref="AE26:AE32">
    <cfRule type="cellIs" dxfId="21" priority="13" operator="equal">
      <formula>"Aplicado"</formula>
    </cfRule>
    <cfRule type="cellIs" dxfId="20" priority="14" operator="equal">
      <formula>"Pendiente"</formula>
    </cfRule>
  </conditionalFormatting>
  <conditionalFormatting sqref="AE34:AE40">
    <cfRule type="cellIs" dxfId="19" priority="11" operator="equal">
      <formula>"Aplicado"</formula>
    </cfRule>
    <cfRule type="cellIs" dxfId="18" priority="12" operator="equal">
      <formula>"Pendiente"</formula>
    </cfRule>
  </conditionalFormatting>
  <conditionalFormatting sqref="AE33">
    <cfRule type="cellIs" dxfId="17" priority="9" operator="equal">
      <formula>"Aplicado"</formula>
    </cfRule>
    <cfRule type="cellIs" dxfId="16" priority="10" operator="equal">
      <formula>"Pendiente"</formula>
    </cfRule>
  </conditionalFormatting>
  <conditionalFormatting sqref="AE42">
    <cfRule type="cellIs" dxfId="15" priority="7" operator="equal">
      <formula>"Aplicado"</formula>
    </cfRule>
    <cfRule type="cellIs" dxfId="14" priority="8" operator="equal">
      <formula>"Pendiente"</formula>
    </cfRule>
  </conditionalFormatting>
  <conditionalFormatting sqref="AE41">
    <cfRule type="cellIs" dxfId="13" priority="5" operator="equal">
      <formula>"Aplicado"</formula>
    </cfRule>
    <cfRule type="cellIs" dxfId="12" priority="6" operator="equal">
      <formula>"Pendiente"</formula>
    </cfRule>
  </conditionalFormatting>
  <conditionalFormatting sqref="AE43">
    <cfRule type="cellIs" dxfId="11" priority="3" operator="equal">
      <formula>"Aplicado"</formula>
    </cfRule>
    <cfRule type="cellIs" dxfId="10" priority="4" operator="equal">
      <formula>"Pendiente"</formula>
    </cfRule>
  </conditionalFormatting>
  <conditionalFormatting sqref="AE44:AE46">
    <cfRule type="cellIs" dxfId="9" priority="1" operator="equal">
      <formula>"Aplicado"</formula>
    </cfRule>
    <cfRule type="cellIs" dxfId="8" priority="2" operator="equal">
      <formula>"Pendiente"</formula>
    </cfRule>
  </conditionalFormatting>
  <dataValidations count="4">
    <dataValidation allowBlank="1" showInputMessage="1" showErrorMessage="1" prompt="Hace referencia a la BD versión 0_x000a_" sqref="K1" xr:uid="{00000000-0002-0000-0800-000000000000}"/>
    <dataValidation allowBlank="1" showInputMessage="1" showErrorMessage="1" prompt="Es el memorando de salida que da respuesta a los cambios" sqref="A1:B1" xr:uid="{00000000-0002-0000-0800-000001000000}"/>
    <dataValidation allowBlank="1" showInputMessage="1" showErrorMessage="1" prompt="Es la fecha en que Yuri me pasa el VoBo para que sea incoporado en BD" sqref="F1" xr:uid="{00000000-0002-0000-0800-000002000000}"/>
    <dataValidation type="list" allowBlank="1" showInputMessage="1" showErrorMessage="1" sqref="AE2:AE46" xr:uid="{00000000-0002-0000-0800-000003000000}">
      <formula1>"Pendiente,Aplicado"</formula1>
    </dataValidation>
  </dataValidations>
  <pageMargins left="0.7" right="0.7" top="0.75" bottom="0.75" header="0.3" footer="0.3"/>
  <pageSetup paperSize="9" orientation="portrait" horizontalDpi="0"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AA49"/>
  <sheetViews>
    <sheetView showGridLines="0" topLeftCell="A9" zoomScale="55" zoomScaleNormal="55" workbookViewId="0">
      <selection activeCell="C13" sqref="C13"/>
    </sheetView>
  </sheetViews>
  <sheetFormatPr baseColWidth="10" defaultColWidth="11.5546875" defaultRowHeight="14.4" x14ac:dyDescent="0.3"/>
  <cols>
    <col min="1" max="1" width="4.6640625" style="120" customWidth="1"/>
    <col min="2" max="2" width="29.109375" style="15" customWidth="1"/>
    <col min="3" max="3" width="13.44140625" style="15" customWidth="1"/>
    <col min="4" max="4" width="47" style="15" customWidth="1"/>
    <col min="5" max="5" width="17.33203125" style="15" customWidth="1"/>
    <col min="6" max="6" width="37.109375" style="15" customWidth="1"/>
    <col min="7" max="7" width="20.109375" style="15" customWidth="1"/>
    <col min="8" max="8" width="27.6640625" style="15" customWidth="1"/>
    <col min="9" max="20" width="16" style="15" customWidth="1"/>
    <col min="21" max="21" width="16.44140625" style="15" customWidth="1"/>
    <col min="22" max="22" width="20.44140625" style="15" customWidth="1"/>
    <col min="23" max="23" width="21.109375" style="15" customWidth="1"/>
    <col min="24" max="24" width="37.33203125" style="15" customWidth="1"/>
    <col min="25" max="25" width="54.33203125" style="15" customWidth="1"/>
    <col min="26" max="26" width="43.109375" style="15" customWidth="1"/>
    <col min="27" max="27" width="50.33203125" style="15" customWidth="1"/>
    <col min="28" max="16384" width="11.5546875" style="15"/>
  </cols>
  <sheetData>
    <row r="1" spans="1:27" ht="23.4" x14ac:dyDescent="0.45">
      <c r="B1" s="579" t="s">
        <v>2004</v>
      </c>
      <c r="C1" s="580"/>
      <c r="D1" s="580"/>
      <c r="E1" s="580"/>
      <c r="F1" s="581"/>
    </row>
    <row r="2" spans="1:27" ht="18.75" customHeight="1" x14ac:dyDescent="0.3">
      <c r="B2" s="582" t="s">
        <v>2005</v>
      </c>
      <c r="C2" s="583"/>
      <c r="D2" s="583"/>
      <c r="E2" s="583"/>
      <c r="F2" s="584"/>
    </row>
    <row r="6" spans="1:27" ht="15" thickBot="1" x14ac:dyDescent="0.35"/>
    <row r="7" spans="1:27" ht="18.600000000000001" thickBot="1" x14ac:dyDescent="0.4">
      <c r="B7" s="577" t="s">
        <v>2006</v>
      </c>
      <c r="C7" s="578"/>
    </row>
    <row r="8" spans="1:27" ht="15" thickBot="1" x14ac:dyDescent="0.35">
      <c r="B8" s="588" t="s">
        <v>2007</v>
      </c>
      <c r="C8" s="589"/>
      <c r="I8" s="590" t="s">
        <v>2008</v>
      </c>
      <c r="J8" s="591"/>
      <c r="K8" s="591"/>
      <c r="L8" s="591"/>
      <c r="M8" s="591"/>
      <c r="N8" s="591"/>
      <c r="O8" s="591"/>
      <c r="P8" s="591"/>
      <c r="Q8" s="591"/>
      <c r="R8" s="591"/>
      <c r="S8" s="591"/>
      <c r="T8" s="591"/>
      <c r="X8" s="585" t="s">
        <v>2009</v>
      </c>
      <c r="Y8" s="586"/>
      <c r="Z8" s="586"/>
      <c r="AA8" s="587"/>
    </row>
    <row r="9" spans="1:27" ht="31.95" customHeight="1" thickBot="1" x14ac:dyDescent="0.35">
      <c r="B9" s="82" t="s">
        <v>1868</v>
      </c>
      <c r="C9" s="436" t="s">
        <v>2010</v>
      </c>
      <c r="D9" s="436" t="s">
        <v>1792</v>
      </c>
      <c r="E9" s="572" t="s">
        <v>541</v>
      </c>
      <c r="F9" s="572"/>
      <c r="G9" s="436" t="s">
        <v>544</v>
      </c>
      <c r="H9" s="436" t="s">
        <v>413</v>
      </c>
      <c r="I9" s="436" t="s">
        <v>419</v>
      </c>
      <c r="J9" s="436" t="s">
        <v>420</v>
      </c>
      <c r="K9" s="436" t="s">
        <v>421</v>
      </c>
      <c r="L9" s="436" t="s">
        <v>422</v>
      </c>
      <c r="M9" s="436" t="s">
        <v>423</v>
      </c>
      <c r="N9" s="436" t="s">
        <v>424</v>
      </c>
      <c r="O9" s="436" t="s">
        <v>2011</v>
      </c>
      <c r="P9" s="436" t="s">
        <v>2012</v>
      </c>
      <c r="Q9" s="436" t="s">
        <v>2013</v>
      </c>
      <c r="R9" s="436" t="s">
        <v>2014</v>
      </c>
      <c r="S9" s="436" t="s">
        <v>2015</v>
      </c>
      <c r="T9" s="436" t="s">
        <v>2016</v>
      </c>
      <c r="U9" s="436" t="s">
        <v>425</v>
      </c>
      <c r="V9" s="436" t="s">
        <v>416</v>
      </c>
      <c r="W9" s="436" t="s">
        <v>417</v>
      </c>
      <c r="X9" s="436" t="s">
        <v>426</v>
      </c>
      <c r="Y9" s="436" t="s">
        <v>427</v>
      </c>
      <c r="Z9" s="436" t="s">
        <v>428</v>
      </c>
      <c r="AA9" s="187" t="s">
        <v>429</v>
      </c>
    </row>
    <row r="10" spans="1:27" ht="43.95" customHeight="1" x14ac:dyDescent="0.3">
      <c r="A10" s="92" t="str">
        <f t="shared" ref="A10:A15" si="0">+VLOOKUP(B10,responsables,8,0)</f>
        <v>oap</v>
      </c>
      <c r="B10" s="576" t="s">
        <v>105</v>
      </c>
      <c r="C10" s="435" t="s">
        <v>1143</v>
      </c>
      <c r="D10" s="435" t="str">
        <f t="shared" ref="D10:H15" si="1">+VLOOKUP($C10,bd,MATCH(D$9,bdfila,0),0)</f>
        <v>Cumplir con el 100% de las actividades programadas en el componente 1 del Plan anticorrupción y Atención al Ciudadano</v>
      </c>
      <c r="E10" s="573" t="str">
        <f>+VLOOKUP($C10,bd,MATCH(E$9,bdfila,0),0)</f>
        <v>Porcentaje de avance en las actividades del componente 1 del Plan Anticorrupción y Atención al Ciudadano</v>
      </c>
      <c r="F10" s="573"/>
      <c r="G10" s="435" t="str">
        <f t="shared" si="1"/>
        <v>Constante</v>
      </c>
      <c r="H10" s="435" t="str">
        <f t="shared" si="1"/>
        <v>Porcentaje</v>
      </c>
      <c r="I10" s="103">
        <v>15</v>
      </c>
      <c r="J10" s="103">
        <v>0</v>
      </c>
      <c r="K10" s="103">
        <v>12</v>
      </c>
      <c r="L10" s="103">
        <v>1</v>
      </c>
      <c r="M10" s="103">
        <v>13</v>
      </c>
      <c r="N10" s="103">
        <v>1</v>
      </c>
      <c r="O10" s="103">
        <v>15</v>
      </c>
      <c r="P10" s="103">
        <v>0</v>
      </c>
      <c r="Q10" s="103">
        <v>13</v>
      </c>
      <c r="R10" s="103">
        <v>1</v>
      </c>
      <c r="S10" s="103">
        <v>12</v>
      </c>
      <c r="T10" s="103">
        <v>1</v>
      </c>
      <c r="U10" s="121">
        <f t="shared" ref="U10:U15" si="2">+VLOOKUP($C10,bd,MATCH(U$9,bdfila,0),0)</f>
        <v>100</v>
      </c>
      <c r="V10" s="50" t="s">
        <v>638</v>
      </c>
      <c r="W10" s="52">
        <f t="shared" ref="W10:W15" si="3">+IF(V10="Suma",SUM(I10:T10),"")</f>
        <v>84</v>
      </c>
      <c r="X10" s="122" t="str">
        <f>+VLOOKUP($C10,bd,MATCH(X$9,BD_metas!$A$5:$DB$5,0),0)</f>
        <v>Este indicador mide el avance en la ejecución de las actividades programadas en la vigencia, para el Componente 1 del Plan Anticorrupción y Atención al Ciudadano en la Secretaria General de la Alcaldía Mayor de Bogotá D.C.</v>
      </c>
      <c r="Y10" s="122" t="str">
        <f>+VLOOKUP($C10,bd,MATCH(Y$9,BD_metas!$A$5:$DB$5,0),0)</f>
        <v>Prestar apoyo técnico a las dependencias en lo relacionado con la formulación y el desarrollo de las actividades asociadas al componente 1 del Plan Anticorrupción y Atención al Ciudadano.
Hacer monitoreo y seguimiento a las dependencias responsables de la ejecución de las actividades programadas en el componenente 1 del Plan Anticorrupción y Atención al Ciudadano.</v>
      </c>
      <c r="Z10" s="122" t="str">
        <f>+VLOOKUP($C10,bd,MATCH(Z$9,BD_metas!$A$5:$DB$5,0),0)</f>
        <v>Identificar, analizar y controlar los posibles hechos generadores de corrupción, tanto internos como externos, conforme a lo establecido en la "Guía para la administración del
riesgo y el diseño de controles en entidades públicas" y  el documento “Estrategias para la construcción del Plan Anticorrupción y de Atención al Ciudadano”</v>
      </c>
      <c r="AA10" s="123" t="str">
        <f>+VLOOKUP($C10,bd,MATCH(AA$9,BD_metas!$A$5:$DB$5,0),0)</f>
        <v>Botón de transparencia de la página web de la Secretaría General
Informe de seguimiento y monitoreo al Mapa de Riesgos de Corrupción
Reportes de las dependencias</v>
      </c>
    </row>
    <row r="11" spans="1:27" ht="43.95" customHeight="1" x14ac:dyDescent="0.3">
      <c r="A11" s="92" t="e">
        <f t="shared" si="0"/>
        <v>#N/A</v>
      </c>
      <c r="B11" s="563"/>
      <c r="C11" s="432" t="s">
        <v>1162</v>
      </c>
      <c r="D11" s="432" t="str">
        <f t="shared" si="1"/>
        <v>Cumplir con el 100% de las actividades programadas en el componente 2 del Plan anticorrupción y Atención al Ciudadano</v>
      </c>
      <c r="E11" s="566" t="str">
        <f t="shared" si="1"/>
        <v>Porcentaje de avance en las actividades del componente 2 del Plan Anticorrupción y Atención al Ciudadano</v>
      </c>
      <c r="F11" s="566"/>
      <c r="G11" s="432" t="str">
        <f t="shared" si="1"/>
        <v>Constante</v>
      </c>
      <c r="H11" s="432" t="str">
        <f t="shared" si="1"/>
        <v>Porcentaje</v>
      </c>
      <c r="I11" s="104">
        <v>0</v>
      </c>
      <c r="J11" s="104">
        <v>0</v>
      </c>
      <c r="K11" s="104">
        <v>0</v>
      </c>
      <c r="L11" s="104">
        <v>0</v>
      </c>
      <c r="M11" s="104">
        <v>2</v>
      </c>
      <c r="N11" s="104">
        <v>0</v>
      </c>
      <c r="O11" s="104">
        <v>0</v>
      </c>
      <c r="P11" s="104">
        <v>0</v>
      </c>
      <c r="Q11" s="104">
        <v>0</v>
      </c>
      <c r="R11" s="104">
        <v>0</v>
      </c>
      <c r="S11" s="104">
        <v>0</v>
      </c>
      <c r="T11" s="104">
        <v>0</v>
      </c>
      <c r="U11" s="51">
        <f t="shared" si="2"/>
        <v>100</v>
      </c>
      <c r="V11" s="50" t="s">
        <v>638</v>
      </c>
      <c r="W11" s="52">
        <f t="shared" si="3"/>
        <v>2</v>
      </c>
      <c r="X11" s="93" t="str">
        <f>+VLOOKUP($C11,bd,MATCH(X$9,BD_metas!$A$5:$DB$5,0),0)</f>
        <v>Este indicador mide el avance en la ejecución de las actividades programadas en la vigencia, para el Componente 2 del Plan Anticorrupción y Atención al Ciudadano en la Secretaria General de la Alcaldía Mayor de Bogotá D.C.</v>
      </c>
      <c r="Y11" s="93" t="str">
        <f>+VLOOKUP($C11,bd,MATCH(Y$9,BD_metas!$A$5:$DB$5,0),0)</f>
        <v>Prestar apoyo técnico a las dependencias en lo relacionado con la formulación y el desarrollo de las actividades asociadas al componente 2 del Plan Anticorrupción y Atención al Ciudadano.
Hacer monitoreo y seguimiento a las dependencias responsables de la ejecución de las actividades programadas en el componenente 2 del Plan Anticorrupción y Atención al Ciudadano.</v>
      </c>
      <c r="Z11" s="93" t="str">
        <f>+VLOOKUP($C11,bd,MATCH(Z$9,BD_metas!$A$5:$DB$5,0),0)</f>
        <v>Facilitar al ciudadano el acceso a los trámites y servicios que brinda la entidad, con el ánimo de  simplificar el proceso y reducir tiempos y costos asociados y  generar esquemas no presenciales de acceso al trámite a través del uso de las herramientas tecnológicas</v>
      </c>
      <c r="AA11" s="94" t="str">
        <f>+VLOOKUP($C11,bd,MATCH(AA$9,BD_metas!$A$5:$DB$5,0),0)</f>
        <v xml:space="preserve">Botón de transparencia de la página web de la Secretaría General
Plataforma SUIT
</v>
      </c>
    </row>
    <row r="12" spans="1:27" ht="43.95" customHeight="1" x14ac:dyDescent="0.3">
      <c r="A12" s="92" t="e">
        <f t="shared" si="0"/>
        <v>#N/A</v>
      </c>
      <c r="B12" s="563"/>
      <c r="C12" s="432" t="s">
        <v>1170</v>
      </c>
      <c r="D12" s="432" t="str">
        <f t="shared" si="1"/>
        <v>Cumplir con el 100% de las actividades programadas en el componente 3 del Plan anticorrupción y Atención al Ciudadano</v>
      </c>
      <c r="E12" s="566" t="str">
        <f t="shared" si="1"/>
        <v>Porcentaje de avance en las actividades del componente 3 del Plan Anticorrupción y Atención al Ciudadano</v>
      </c>
      <c r="F12" s="566"/>
      <c r="G12" s="432" t="str">
        <f t="shared" si="1"/>
        <v>Constante</v>
      </c>
      <c r="H12" s="432" t="str">
        <f t="shared" si="1"/>
        <v>Porcentaje</v>
      </c>
      <c r="I12" s="104">
        <v>1</v>
      </c>
      <c r="J12" s="104">
        <v>2</v>
      </c>
      <c r="K12" s="104">
        <v>2</v>
      </c>
      <c r="L12" s="104">
        <v>1</v>
      </c>
      <c r="M12" s="104">
        <v>1</v>
      </c>
      <c r="N12" s="104">
        <v>2</v>
      </c>
      <c r="O12" s="104">
        <v>2</v>
      </c>
      <c r="P12" s="104">
        <v>2</v>
      </c>
      <c r="Q12" s="104">
        <v>1</v>
      </c>
      <c r="R12" s="104">
        <v>1</v>
      </c>
      <c r="S12" s="104">
        <v>2</v>
      </c>
      <c r="T12" s="104">
        <v>4</v>
      </c>
      <c r="U12" s="51">
        <f t="shared" si="2"/>
        <v>100</v>
      </c>
      <c r="V12" s="50" t="s">
        <v>638</v>
      </c>
      <c r="W12" s="52">
        <f t="shared" si="3"/>
        <v>21</v>
      </c>
      <c r="X12" s="93" t="str">
        <f>+VLOOKUP($C12,bd,MATCH(X$9,BD_metas!$A$5:$DB$5,0),0)</f>
        <v>Este indicador mide el avance en la ejecución de las actividades programadas en la vigencia, para el Componente 3 del Plan Anticorrupción y Atención al Ciudadano en la Secretaria General de la Alcaldía Mayor de Bogotá D.C.</v>
      </c>
      <c r="Y12" s="93" t="str">
        <f>+VLOOKUP($C12,bd,MATCH(Y$9,BD_metas!$A$5:$DB$5,0),0)</f>
        <v>Prestar apoyo técnico a las dependencias en lo relacionado con la formulación y el desarrollo de las actividades asociadas al componente 3 del Plan Anticorrupción y Atención al Ciudadano.
Hacer monitoreo y seguimiento a las dependencias responsables de la ejecución de las actividades programadas en el componenente 3 del Plan Anticorrupción y Atención al Ciudadano.</v>
      </c>
      <c r="Z12" s="93" t="str">
        <f>+VLOOKUP($C12,bd,MATCH(Z$9,BD_metas!$A$5:$DB$5,0),0)</f>
        <v>Afianzar la relación entre la ciudadanía y la entidad, donde se informe, explique y se dé a conocer los resultados de la gestión al ciudadano, la sociedad civil, otras entidades públicas y a los organismos de control</v>
      </c>
      <c r="AA12" s="94" t="str">
        <f>+VLOOKUP($C12,bd,MATCH(AA$9,BD_metas!$A$5:$DB$5,0),0)</f>
        <v>Botón de transparencia de la página web de la Secretaría General
Reportes de las dependencias</v>
      </c>
    </row>
    <row r="13" spans="1:27" ht="43.95" customHeight="1" x14ac:dyDescent="0.3">
      <c r="A13" s="92" t="e">
        <f t="shared" si="0"/>
        <v>#N/A</v>
      </c>
      <c r="B13" s="563"/>
      <c r="C13" s="432" t="s">
        <v>1178</v>
      </c>
      <c r="D13" s="432" t="str">
        <f t="shared" si="1"/>
        <v>Cumplir con el 100% de las actividades programadas en el componente 4 del Plan anticorrupción y Atención al Ciudadano</v>
      </c>
      <c r="E13" s="566" t="str">
        <f t="shared" si="1"/>
        <v>Porcentaje de avance en las actividades del componente 4 del Plan Anticorrupción y Atención al Ciudadano</v>
      </c>
      <c r="F13" s="566"/>
      <c r="G13" s="432" t="str">
        <f t="shared" si="1"/>
        <v>Constante</v>
      </c>
      <c r="H13" s="432" t="str">
        <f t="shared" si="1"/>
        <v>Porcentaje</v>
      </c>
      <c r="I13" s="104">
        <v>1469</v>
      </c>
      <c r="J13" s="104">
        <v>1534</v>
      </c>
      <c r="K13" s="104">
        <v>1506</v>
      </c>
      <c r="L13" s="104">
        <v>1727</v>
      </c>
      <c r="M13" s="104">
        <v>1754</v>
      </c>
      <c r="N13" s="104">
        <v>2111</v>
      </c>
      <c r="O13" s="104">
        <v>2068</v>
      </c>
      <c r="P13" s="104">
        <v>2027</v>
      </c>
      <c r="Q13" s="104">
        <v>1977</v>
      </c>
      <c r="R13" s="104">
        <v>1929</v>
      </c>
      <c r="S13" s="104">
        <v>1758</v>
      </c>
      <c r="T13" s="104">
        <v>1676</v>
      </c>
      <c r="U13" s="51">
        <f t="shared" si="2"/>
        <v>100</v>
      </c>
      <c r="V13" s="50" t="s">
        <v>638</v>
      </c>
      <c r="W13" s="52">
        <f t="shared" si="3"/>
        <v>21536</v>
      </c>
      <c r="X13" s="93" t="str">
        <f>+VLOOKUP($C13,bd,MATCH(X$9,BD_metas!$A$5:$DB$5,0),0)</f>
        <v>Este indicador mide el avance en la ejecución de las actividades programadas en la vigencia, para el Componente 4 del Plan Anticorrupción y Atención al Ciudadano en la Secretaria General de la Alcaldía Mayor de Bogotá D.C.</v>
      </c>
      <c r="Y13" s="93" t="str">
        <f>+VLOOKUP($C13,bd,MATCH(Y$9,BD_metas!$A$5:$DB$5,0),0)</f>
        <v>Prestar apoyo técnico a las dependencias en lo relacionado con la formulación y el desarrollo de las actividades asociadas al componente 4 del Plan Anticorrupción y Atención al Ciudadano.
Hacer monitoreo y seguimiento a las dependencias responsables de la ejecución de las actividades programadas en el componenente 4 del Plan Anticorrupción y Atención al Ciudadano.</v>
      </c>
      <c r="Z13" s="93" t="str">
        <f>+VLOOKUP($C13,bd,MATCH(Z$9,BD_metas!$A$5:$DB$5,0),0)</f>
        <v>Mejorar la satisfacción de los ciudadanos, facilitando el ejercicio de sus derechos dentro del marco de la Política Nacional de Eficiencia Administrativa al Servicio del Ciudadano (Conpes 3785 de 2013), de acuerdo con los lineamientos del Programa Nacional de Servicio al Ciudadano</v>
      </c>
      <c r="AA13" s="94" t="str">
        <f>+VLOOKUP($C13,bd,MATCH(AA$9,BD_metas!$A$5:$DB$5,0),0)</f>
        <v>Botón de transparencia de la página web de la Secretaría General
Reportes de las dependencias</v>
      </c>
    </row>
    <row r="14" spans="1:27" ht="43.95" customHeight="1" x14ac:dyDescent="0.3">
      <c r="A14" s="92" t="e">
        <f t="shared" si="0"/>
        <v>#N/A</v>
      </c>
      <c r="B14" s="563"/>
      <c r="C14" s="432" t="s">
        <v>1185</v>
      </c>
      <c r="D14" s="432" t="str">
        <f t="shared" si="1"/>
        <v>Cumplir con el 100% de las actividades programadas en el componente 5 del Plan anticorrupción y Atención al Ciudadano</v>
      </c>
      <c r="E14" s="566" t="str">
        <f>+VLOOKUP($C14,bd,MATCH(E$9,bdfila,0),0)</f>
        <v>Porcentaje de avance en las actividades del componente 5 del Plan Anticorrupción y Atención al Ciudadano</v>
      </c>
      <c r="F14" s="566"/>
      <c r="G14" s="432" t="str">
        <f t="shared" si="1"/>
        <v>Constante</v>
      </c>
      <c r="H14" s="432" t="str">
        <f t="shared" si="1"/>
        <v>Porcentaje</v>
      </c>
      <c r="I14" s="104">
        <v>17</v>
      </c>
      <c r="J14" s="104">
        <v>17</v>
      </c>
      <c r="K14" s="104">
        <v>17</v>
      </c>
      <c r="L14" s="104">
        <v>20</v>
      </c>
      <c r="M14" s="104">
        <v>24</v>
      </c>
      <c r="N14" s="104">
        <v>19</v>
      </c>
      <c r="O14" s="104">
        <v>20</v>
      </c>
      <c r="P14" s="104">
        <v>20</v>
      </c>
      <c r="Q14" s="104">
        <v>19</v>
      </c>
      <c r="R14" s="104">
        <v>21</v>
      </c>
      <c r="S14" s="104">
        <v>19</v>
      </c>
      <c r="T14" s="104">
        <v>22</v>
      </c>
      <c r="U14" s="51">
        <f t="shared" si="2"/>
        <v>100</v>
      </c>
      <c r="V14" s="50" t="s">
        <v>638</v>
      </c>
      <c r="W14" s="52">
        <f t="shared" si="3"/>
        <v>235</v>
      </c>
      <c r="X14" s="93" t="str">
        <f>+VLOOKUP($C14,bd,MATCH(X$9,BD_metas!$A$5:$DB$5,0),0)</f>
        <v>Este indicador mide el avance en la ejecución de las actividades programadas en la vigencia, para el Componente 5 del Plan Anticorrupción y Atención al Ciudadano en la Secretaria General de la Alcaldía Mayor de Bogotá D.C.</v>
      </c>
      <c r="Y14" s="93" t="str">
        <f>+VLOOKUP($C14,bd,MATCH(Y$9,BD_metas!$A$5:$DB$5,0),0)</f>
        <v>Prestar apoyo técnico a las dependencias en lo relacionado con la formulación y el desarrollo de las actividades asociadas al componente 5 del Plan Anticorrupción y Atención al Ciudadano.
Hacer monitoreo y seguimiento a las dependencias responsables de la ejecución de las actividades programadas en el componenente 5 del Plan Anticorrupción y Atención al Ciudadano.</v>
      </c>
      <c r="Z14" s="93" t="str">
        <f>+VLOOKUP($C14,bd,MATCH(Z$9,BD_metas!$A$5:$DB$5,0),0)</f>
        <v>Desarrollar acciones para la implementación de la ley 1712 de 2014 y los lineamientos  del primer objetivo del CONPES 167 de 2013 “Estrategia para el mejoramiento del acceso y la calidad de la información pública”</v>
      </c>
      <c r="AA14" s="94" t="str">
        <f>+VLOOKUP($C14,bd,MATCH(AA$9,BD_metas!$A$5:$DB$5,0),0)</f>
        <v>Botón de transparencia de la página web de la Secretaría General
Reportes de las dependencias</v>
      </c>
    </row>
    <row r="15" spans="1:27" ht="43.95" customHeight="1" thickBot="1" x14ac:dyDescent="0.35">
      <c r="A15" s="92" t="e">
        <f t="shared" si="0"/>
        <v>#N/A</v>
      </c>
      <c r="B15" s="564"/>
      <c r="C15" s="433" t="s">
        <v>1192</v>
      </c>
      <c r="D15" s="433" t="str">
        <f t="shared" si="1"/>
        <v>Cumplir con el 100% de las actividades programadas en el componente 6 del Plan anticorrupción y Atención al Ciudadano</v>
      </c>
      <c r="E15" s="567" t="str">
        <f>+VLOOKUP($C15,bd,MATCH(E$9,bdfila,0),0)</f>
        <v>Porcentaje de avance en las actividades del componente 6 del Plan Anticorrupción y Atención al Ciudadano</v>
      </c>
      <c r="F15" s="567"/>
      <c r="G15" s="433" t="str">
        <f t="shared" si="1"/>
        <v>Constante</v>
      </c>
      <c r="H15" s="433" t="str">
        <f t="shared" si="1"/>
        <v>Porcentaje</v>
      </c>
      <c r="I15" s="107">
        <v>0</v>
      </c>
      <c r="J15" s="107">
        <v>0</v>
      </c>
      <c r="K15" s="107">
        <v>0</v>
      </c>
      <c r="L15" s="107">
        <v>1</v>
      </c>
      <c r="M15" s="107">
        <v>0</v>
      </c>
      <c r="N15" s="107">
        <v>0</v>
      </c>
      <c r="O15" s="107">
        <v>0</v>
      </c>
      <c r="P15" s="107">
        <v>20</v>
      </c>
      <c r="Q15" s="107">
        <v>1</v>
      </c>
      <c r="R15" s="107">
        <v>0</v>
      </c>
      <c r="S15" s="107">
        <v>9</v>
      </c>
      <c r="T15" s="107">
        <v>0</v>
      </c>
      <c r="U15" s="54">
        <f t="shared" si="2"/>
        <v>100</v>
      </c>
      <c r="V15" s="107" t="s">
        <v>638</v>
      </c>
      <c r="W15" s="55">
        <f t="shared" si="3"/>
        <v>31</v>
      </c>
      <c r="X15" s="95" t="str">
        <f>+VLOOKUP($C15,bd,MATCH(X$9,BD_metas!$A$5:$DB$5,0),0)</f>
        <v>Este indicador mide el avance en la ejecución de las actividades programadas en la vigencia, para el Componente 6 del Plan Anticorrupción y Atención al Ciudadano en la Secretaria General de la Alcaldía Mayor de Bogotá D.C.</v>
      </c>
      <c r="Y15" s="95" t="str">
        <f>+VLOOKUP($C15,bd,MATCH(Y$9,BD_metas!$A$5:$DB$5,0),0)</f>
        <v>Prestar apoyo técnico a las dependencias en lo relacionado con la formulación y el desarrollo de las actividades asociadas al componente 6 del Plan Anticorrupción y Atención al Ciudadano.
Hacer monitoreo y seguimiento a las dependencias responsables de la ejecución de las actividades programadas en el componenente 6 del Plan Anticorrupción y Atención al Ciudadano.</v>
      </c>
      <c r="Z15" s="95" t="str">
        <f>+VLOOKUP($C15,bd,MATCH(Z$9,BD_metas!$A$5:$DB$5,0),0)</f>
        <v>Promocionar prácticas éticas en la gestión cotidiana que permitan fortalecer la cultura organizacional y generar cambios comportamentales en los Funcionarios y Contratistas de la Entidad, tendientes a la no tolerancia con la corrupción.</v>
      </c>
      <c r="AA15" s="96" t="str">
        <f>+VLOOKUP($C15,bd,MATCH(AA$9,BD_metas!$A$5:$DB$5,0),0)</f>
        <v>Reportes de las dependencias</v>
      </c>
    </row>
    <row r="16" spans="1:27" ht="15" thickBot="1" x14ac:dyDescent="0.35">
      <c r="I16" s="244"/>
      <c r="J16" s="244"/>
      <c r="K16" s="244"/>
      <c r="L16" s="244"/>
      <c r="M16" s="244"/>
      <c r="N16" s="244"/>
      <c r="O16" s="244"/>
      <c r="P16" s="244"/>
      <c r="Q16" s="244"/>
      <c r="R16" s="244"/>
      <c r="S16" s="244"/>
      <c r="T16" s="244"/>
    </row>
    <row r="17" spans="2:20" ht="18" x14ac:dyDescent="0.35">
      <c r="B17" s="568" t="s">
        <v>2017</v>
      </c>
      <c r="C17" s="569"/>
    </row>
    <row r="18" spans="2:20" ht="15" thickBot="1" x14ac:dyDescent="0.35">
      <c r="B18" s="570" t="s">
        <v>2018</v>
      </c>
      <c r="C18" s="571"/>
      <c r="I18" s="574" t="s">
        <v>2019</v>
      </c>
      <c r="J18" s="575"/>
      <c r="K18" s="575"/>
      <c r="L18" s="575"/>
      <c r="M18" s="575"/>
      <c r="N18" s="575"/>
      <c r="O18" s="575"/>
      <c r="P18" s="575"/>
      <c r="Q18" s="575"/>
      <c r="R18" s="575"/>
      <c r="S18" s="575"/>
      <c r="T18" s="575"/>
    </row>
    <row r="19" spans="2:20" ht="29.4" customHeight="1" thickBot="1" x14ac:dyDescent="0.35">
      <c r="B19" s="58" t="s">
        <v>1868</v>
      </c>
      <c r="C19" s="59" t="s">
        <v>2010</v>
      </c>
      <c r="D19" s="59" t="s">
        <v>1792</v>
      </c>
      <c r="E19" s="59" t="s">
        <v>2020</v>
      </c>
      <c r="F19" s="59" t="s">
        <v>2021</v>
      </c>
      <c r="G19" s="59" t="s">
        <v>2022</v>
      </c>
      <c r="H19" s="59" t="s">
        <v>2023</v>
      </c>
      <c r="I19" s="60" t="s">
        <v>391</v>
      </c>
      <c r="J19" s="60" t="s">
        <v>392</v>
      </c>
      <c r="K19" s="60" t="s">
        <v>393</v>
      </c>
      <c r="L19" s="60" t="s">
        <v>394</v>
      </c>
      <c r="M19" s="61" t="s">
        <v>395</v>
      </c>
      <c r="N19" s="61" t="s">
        <v>396</v>
      </c>
      <c r="O19" s="61" t="s">
        <v>2024</v>
      </c>
      <c r="P19" s="61" t="s">
        <v>2025</v>
      </c>
      <c r="Q19" s="61" t="s">
        <v>2026</v>
      </c>
      <c r="R19" s="61" t="s">
        <v>2027</v>
      </c>
      <c r="S19" s="61" t="s">
        <v>2028</v>
      </c>
      <c r="T19" s="61" t="s">
        <v>2029</v>
      </c>
    </row>
    <row r="20" spans="2:20" ht="44.4" customHeight="1" x14ac:dyDescent="0.3">
      <c r="B20" s="576" t="str">
        <f>+B10</f>
        <v>Oficina Asesora de Planeación</v>
      </c>
      <c r="C20" s="62" t="str">
        <f>+C10</f>
        <v>01_PAAC</v>
      </c>
      <c r="D20" s="573" t="str">
        <f>+VLOOKUP($C20,bd,MATCH(D$9,bdfila,0),0)</f>
        <v>Cumplir con el 100% de las actividades programadas en el componente 1 del Plan anticorrupción y Atención al Ciudadano</v>
      </c>
      <c r="E20" s="63" t="str">
        <f>C20&amp;"_V1"</f>
        <v>01_PAAC_V1</v>
      </c>
      <c r="F20" s="64" t="str">
        <f>+VLOOKUP(C20,bd,MATCH(H20,BD_metas!$A$5:$DB$5,0),0)</f>
        <v>Actividades ejecutadas</v>
      </c>
      <c r="G20" s="65" t="s">
        <v>2030</v>
      </c>
      <c r="H20" s="65" t="s">
        <v>1029</v>
      </c>
      <c r="I20" s="103">
        <v>15</v>
      </c>
      <c r="J20" s="103">
        <v>0</v>
      </c>
      <c r="K20" s="103">
        <v>12</v>
      </c>
      <c r="L20" s="66">
        <v>1</v>
      </c>
      <c r="M20" s="66">
        <v>13</v>
      </c>
      <c r="N20" s="66">
        <v>1</v>
      </c>
      <c r="O20" s="66"/>
      <c r="P20" s="66"/>
      <c r="Q20" s="66"/>
      <c r="R20" s="66"/>
      <c r="S20" s="66"/>
      <c r="T20" s="67"/>
    </row>
    <row r="21" spans="2:20" ht="33" customHeight="1" x14ac:dyDescent="0.3">
      <c r="B21" s="563"/>
      <c r="C21" s="68" t="str">
        <f>+C20</f>
        <v>01_PAAC</v>
      </c>
      <c r="D21" s="566"/>
      <c r="E21" s="69" t="str">
        <f>C21&amp;"_V2"</f>
        <v>01_PAAC_V2</v>
      </c>
      <c r="F21" s="70" t="str">
        <f>+VLOOKUP(C21,bd,MATCH(H21,BD_metas!$A$5:$DB$5,0),0)</f>
        <v>Actividades programadas</v>
      </c>
      <c r="G21" s="56" t="s">
        <v>2030</v>
      </c>
      <c r="H21" s="56" t="s">
        <v>1030</v>
      </c>
      <c r="I21" s="104">
        <v>15</v>
      </c>
      <c r="J21" s="104">
        <v>0</v>
      </c>
      <c r="K21" s="104">
        <v>12</v>
      </c>
      <c r="L21" s="50">
        <v>1</v>
      </c>
      <c r="M21" s="50">
        <v>13</v>
      </c>
      <c r="N21" s="50">
        <v>1</v>
      </c>
      <c r="O21" s="50"/>
      <c r="P21" s="50"/>
      <c r="Q21" s="50"/>
      <c r="R21" s="50"/>
      <c r="S21" s="50"/>
      <c r="T21" s="71"/>
    </row>
    <row r="22" spans="2:20" ht="78" customHeight="1" x14ac:dyDescent="0.3">
      <c r="B22" s="563"/>
      <c r="C22" s="68" t="str">
        <f>+C21</f>
        <v>01_PAAC</v>
      </c>
      <c r="D22" s="566"/>
      <c r="E22" s="69" t="str">
        <f>C21&amp;"_I1"</f>
        <v>01_PAAC_I1</v>
      </c>
      <c r="F22" s="70" t="s">
        <v>1823</v>
      </c>
      <c r="G22" s="56" t="s">
        <v>2031</v>
      </c>
      <c r="H22" s="56" t="s">
        <v>2032</v>
      </c>
      <c r="I22" s="250" t="s">
        <v>2033</v>
      </c>
      <c r="J22" s="104" t="s">
        <v>1144</v>
      </c>
      <c r="K22" s="250" t="s">
        <v>2034</v>
      </c>
      <c r="L22" s="250" t="s">
        <v>2035</v>
      </c>
      <c r="M22" s="250" t="s">
        <v>2036</v>
      </c>
      <c r="N22" s="250" t="s">
        <v>2037</v>
      </c>
      <c r="O22" s="50"/>
      <c r="P22" s="50"/>
      <c r="Q22" s="50"/>
      <c r="R22" s="50"/>
      <c r="S22" s="50"/>
      <c r="T22" s="71"/>
    </row>
    <row r="23" spans="2:20" ht="78" customHeight="1" x14ac:dyDescent="0.3">
      <c r="B23" s="563"/>
      <c r="C23" s="68" t="str">
        <f>+C22</f>
        <v>01_PAAC</v>
      </c>
      <c r="D23" s="566"/>
      <c r="E23" s="69" t="str">
        <f>C23&amp;"_I2"</f>
        <v>01_PAAC_I2</v>
      </c>
      <c r="F23" s="70" t="s">
        <v>1824</v>
      </c>
      <c r="G23" s="56" t="s">
        <v>2031</v>
      </c>
      <c r="H23" s="56" t="s">
        <v>2038</v>
      </c>
      <c r="I23" s="250" t="s">
        <v>2039</v>
      </c>
      <c r="J23" s="104" t="s">
        <v>1144</v>
      </c>
      <c r="K23" s="250" t="s">
        <v>2040</v>
      </c>
      <c r="L23" s="250" t="s">
        <v>2040</v>
      </c>
      <c r="M23" s="250" t="s">
        <v>2040</v>
      </c>
      <c r="N23" s="250" t="s">
        <v>2041</v>
      </c>
      <c r="O23" s="50"/>
      <c r="P23" s="50"/>
      <c r="Q23" s="50"/>
      <c r="R23" s="50"/>
      <c r="S23" s="50"/>
      <c r="T23" s="71"/>
    </row>
    <row r="24" spans="2:20" ht="78" customHeight="1" thickBot="1" x14ac:dyDescent="0.35">
      <c r="B24" s="564"/>
      <c r="C24" s="72" t="str">
        <f>+C23</f>
        <v>01_PAAC</v>
      </c>
      <c r="D24" s="567"/>
      <c r="E24" s="73" t="str">
        <f>C24&amp;"_I3"</f>
        <v>01_PAAC_I3</v>
      </c>
      <c r="F24" s="74" t="s">
        <v>1825</v>
      </c>
      <c r="G24" s="57" t="s">
        <v>2031</v>
      </c>
      <c r="H24" s="57" t="s">
        <v>2042</v>
      </c>
      <c r="I24" s="251" t="s">
        <v>2043</v>
      </c>
      <c r="J24" s="107" t="s">
        <v>1144</v>
      </c>
      <c r="K24" s="251" t="s">
        <v>2043</v>
      </c>
      <c r="L24" s="251" t="s">
        <v>2043</v>
      </c>
      <c r="M24" s="251" t="s">
        <v>2043</v>
      </c>
      <c r="N24" s="251" t="s">
        <v>2044</v>
      </c>
      <c r="O24" s="53"/>
      <c r="P24" s="53"/>
      <c r="Q24" s="53"/>
      <c r="R24" s="53"/>
      <c r="S24" s="53"/>
      <c r="T24" s="75"/>
    </row>
    <row r="25" spans="2:20" x14ac:dyDescent="0.3">
      <c r="B25" s="562" t="str">
        <f>+B10</f>
        <v>Oficina Asesora de Planeación</v>
      </c>
      <c r="C25" s="76" t="str">
        <f>+C11</f>
        <v>02_PAAC</v>
      </c>
      <c r="D25" s="565" t="str">
        <f>+VLOOKUP($C25,bd,MATCH(D$9,bdfila,0),0)</f>
        <v>Cumplir con el 100% de las actividades programadas en el componente 2 del Plan anticorrupción y Atención al Ciudadano</v>
      </c>
      <c r="E25" s="77" t="str">
        <f>C25&amp;"_V1"</f>
        <v>02_PAAC_V1</v>
      </c>
      <c r="F25" s="124" t="str">
        <f>+VLOOKUP(C25,bd,MATCH(H25,BD_metas!$A$5:$DB$5,0),0)</f>
        <v>Actividades ejecutadas</v>
      </c>
      <c r="G25" s="78" t="s">
        <v>2030</v>
      </c>
      <c r="H25" s="78" t="s">
        <v>1029</v>
      </c>
      <c r="I25" s="125"/>
      <c r="J25" s="125"/>
      <c r="K25" s="125"/>
      <c r="L25" s="126"/>
      <c r="M25" s="126">
        <v>2</v>
      </c>
      <c r="N25" s="126">
        <v>0</v>
      </c>
      <c r="O25" s="126"/>
      <c r="P25" s="126"/>
      <c r="Q25" s="126"/>
      <c r="R25" s="126"/>
      <c r="S25" s="126"/>
      <c r="T25" s="128"/>
    </row>
    <row r="26" spans="2:20" x14ac:dyDescent="0.3">
      <c r="B26" s="563"/>
      <c r="C26" s="68" t="str">
        <f>+C25</f>
        <v>02_PAAC</v>
      </c>
      <c r="D26" s="566"/>
      <c r="E26" s="69" t="str">
        <f>C26&amp;"_V2"</f>
        <v>02_PAAC_V2</v>
      </c>
      <c r="F26" s="70" t="str">
        <f>+VLOOKUP(C26,bd,MATCH(H26,BD_metas!$A$5:$DB$5,0),0)</f>
        <v>Actividades programadas</v>
      </c>
      <c r="G26" s="56" t="s">
        <v>2030</v>
      </c>
      <c r="H26" s="56" t="s">
        <v>1030</v>
      </c>
      <c r="I26" s="104"/>
      <c r="J26" s="104"/>
      <c r="K26" s="104"/>
      <c r="L26" s="50"/>
      <c r="M26" s="50">
        <v>2</v>
      </c>
      <c r="N26" s="50">
        <v>0</v>
      </c>
      <c r="O26" s="50"/>
      <c r="P26" s="50"/>
      <c r="Q26" s="50"/>
      <c r="R26" s="50"/>
      <c r="S26" s="50"/>
      <c r="T26" s="71"/>
    </row>
    <row r="27" spans="2:20" ht="102" customHeight="1" x14ac:dyDescent="0.3">
      <c r="B27" s="563"/>
      <c r="C27" s="68" t="str">
        <f>+C26</f>
        <v>02_PAAC</v>
      </c>
      <c r="D27" s="566"/>
      <c r="E27" s="69" t="str">
        <f>C26&amp;"_I1"</f>
        <v>02_PAAC_I1</v>
      </c>
      <c r="F27" s="70" t="s">
        <v>1823</v>
      </c>
      <c r="G27" s="56" t="s">
        <v>2031</v>
      </c>
      <c r="H27" s="56" t="s">
        <v>2032</v>
      </c>
      <c r="I27" s="104" t="s">
        <v>1144</v>
      </c>
      <c r="J27" s="104" t="s">
        <v>1144</v>
      </c>
      <c r="K27" s="104" t="s">
        <v>1144</v>
      </c>
      <c r="L27" s="104" t="s">
        <v>1144</v>
      </c>
      <c r="M27" s="252" t="s">
        <v>2045</v>
      </c>
      <c r="N27" s="104" t="s">
        <v>1144</v>
      </c>
      <c r="O27" s="50"/>
      <c r="P27" s="50"/>
      <c r="Q27" s="50"/>
      <c r="R27" s="50"/>
      <c r="S27" s="50"/>
      <c r="T27" s="71"/>
    </row>
    <row r="28" spans="2:20" ht="102" customHeight="1" x14ac:dyDescent="0.3">
      <c r="B28" s="563"/>
      <c r="C28" s="68" t="str">
        <f>+C27</f>
        <v>02_PAAC</v>
      </c>
      <c r="D28" s="566"/>
      <c r="E28" s="69" t="str">
        <f>C28&amp;"_I2"</f>
        <v>02_PAAC_I2</v>
      </c>
      <c r="F28" s="70" t="s">
        <v>1824</v>
      </c>
      <c r="G28" s="56" t="s">
        <v>2031</v>
      </c>
      <c r="H28" s="56" t="s">
        <v>2038</v>
      </c>
      <c r="I28" s="104" t="s">
        <v>1144</v>
      </c>
      <c r="J28" s="104" t="s">
        <v>1144</v>
      </c>
      <c r="K28" s="104" t="s">
        <v>1144</v>
      </c>
      <c r="L28" s="104" t="s">
        <v>1144</v>
      </c>
      <c r="M28" s="250" t="s">
        <v>2040</v>
      </c>
      <c r="N28" s="104" t="s">
        <v>1144</v>
      </c>
      <c r="O28" s="50"/>
      <c r="P28" s="50"/>
      <c r="Q28" s="50"/>
      <c r="R28" s="50"/>
      <c r="S28" s="50"/>
      <c r="T28" s="71"/>
    </row>
    <row r="29" spans="2:20" ht="102" customHeight="1" thickBot="1" x14ac:dyDescent="0.35">
      <c r="B29" s="564"/>
      <c r="C29" s="72" t="str">
        <f>+C28</f>
        <v>02_PAAC</v>
      </c>
      <c r="D29" s="567"/>
      <c r="E29" s="73" t="str">
        <f>C29&amp;"_I3"</f>
        <v>02_PAAC_I3</v>
      </c>
      <c r="F29" s="74" t="s">
        <v>1825</v>
      </c>
      <c r="G29" s="57" t="s">
        <v>2031</v>
      </c>
      <c r="H29" s="57" t="s">
        <v>2042</v>
      </c>
      <c r="I29" s="107" t="s">
        <v>1144</v>
      </c>
      <c r="J29" s="107" t="s">
        <v>1144</v>
      </c>
      <c r="K29" s="107" t="s">
        <v>1144</v>
      </c>
      <c r="L29" s="107" t="s">
        <v>1144</v>
      </c>
      <c r="M29" s="251" t="s">
        <v>2046</v>
      </c>
      <c r="N29" s="107" t="s">
        <v>1144</v>
      </c>
      <c r="O29" s="53"/>
      <c r="P29" s="53"/>
      <c r="Q29" s="53"/>
      <c r="R29" s="53"/>
      <c r="S29" s="53"/>
      <c r="T29" s="75"/>
    </row>
    <row r="30" spans="2:20" x14ac:dyDescent="0.3">
      <c r="B30" s="562" t="str">
        <f>+B10</f>
        <v>Oficina Asesora de Planeación</v>
      </c>
      <c r="C30" s="76" t="str">
        <f>+C12</f>
        <v>03_PAAC</v>
      </c>
      <c r="D30" s="565" t="str">
        <f>+VLOOKUP($C30,bd,MATCH(D$9,bdfila,0),0)</f>
        <v>Cumplir con el 100% de las actividades programadas en el componente 3 del Plan anticorrupción y Atención al Ciudadano</v>
      </c>
      <c r="E30" s="77" t="str">
        <f>C30&amp;"_V1"</f>
        <v>03_PAAC_V1</v>
      </c>
      <c r="F30" s="124" t="str">
        <f>+VLOOKUP(C30,bd,MATCH(H30,BD_metas!$A$5:$DB$5,0),0)</f>
        <v>Actividades ejecutadas</v>
      </c>
      <c r="G30" s="78" t="s">
        <v>2030</v>
      </c>
      <c r="H30" s="78" t="s">
        <v>1029</v>
      </c>
      <c r="I30" s="127">
        <v>1</v>
      </c>
      <c r="J30" s="127">
        <v>2</v>
      </c>
      <c r="K30" s="127">
        <v>2</v>
      </c>
      <c r="L30" s="126">
        <v>1</v>
      </c>
      <c r="M30" s="126">
        <v>1</v>
      </c>
      <c r="N30" s="126">
        <v>2</v>
      </c>
      <c r="O30" s="126"/>
      <c r="P30" s="126"/>
      <c r="Q30" s="126"/>
      <c r="R30" s="126"/>
      <c r="S30" s="126"/>
      <c r="T30" s="128"/>
    </row>
    <row r="31" spans="2:20" x14ac:dyDescent="0.3">
      <c r="B31" s="563"/>
      <c r="C31" s="68" t="str">
        <f>+C30</f>
        <v>03_PAAC</v>
      </c>
      <c r="D31" s="566"/>
      <c r="E31" s="69" t="str">
        <f>C31&amp;"_V2"</f>
        <v>03_PAAC_V2</v>
      </c>
      <c r="F31" s="70" t="str">
        <f>+VLOOKUP(C31,bd,MATCH(H31,BD_metas!$A$5:$DB$5,0),0)</f>
        <v>Actividades programadas</v>
      </c>
      <c r="G31" s="56" t="s">
        <v>2030</v>
      </c>
      <c r="H31" s="56" t="s">
        <v>1030</v>
      </c>
      <c r="I31" s="104">
        <v>1</v>
      </c>
      <c r="J31" s="104">
        <v>2</v>
      </c>
      <c r="K31" s="104">
        <v>2</v>
      </c>
      <c r="L31" s="50">
        <v>1</v>
      </c>
      <c r="M31" s="50">
        <v>1</v>
      </c>
      <c r="N31" s="50">
        <v>2</v>
      </c>
      <c r="O31" s="50"/>
      <c r="P31" s="50"/>
      <c r="Q31" s="50"/>
      <c r="R31" s="50"/>
      <c r="S31" s="50"/>
      <c r="T31" s="71"/>
    </row>
    <row r="32" spans="2:20" ht="129" customHeight="1" x14ac:dyDescent="0.3">
      <c r="B32" s="563"/>
      <c r="C32" s="68" t="str">
        <f>+C31</f>
        <v>03_PAAC</v>
      </c>
      <c r="D32" s="566"/>
      <c r="E32" s="69" t="str">
        <f>C31&amp;"_I1"</f>
        <v>03_PAAC_I1</v>
      </c>
      <c r="F32" s="70" t="s">
        <v>1823</v>
      </c>
      <c r="G32" s="56" t="s">
        <v>2031</v>
      </c>
      <c r="H32" s="56" t="s">
        <v>2032</v>
      </c>
      <c r="I32" s="250" t="s">
        <v>2047</v>
      </c>
      <c r="J32" s="250" t="s">
        <v>2048</v>
      </c>
      <c r="K32" s="250" t="s">
        <v>2049</v>
      </c>
      <c r="L32" s="250" t="s">
        <v>2050</v>
      </c>
      <c r="M32" s="250" t="s">
        <v>2047</v>
      </c>
      <c r="N32" s="250" t="s">
        <v>2051</v>
      </c>
      <c r="O32" s="50"/>
      <c r="P32" s="50"/>
      <c r="Q32" s="50"/>
      <c r="R32" s="50"/>
      <c r="S32" s="50"/>
      <c r="T32" s="71"/>
    </row>
    <row r="33" spans="2:20" ht="129" customHeight="1" x14ac:dyDescent="0.3">
      <c r="B33" s="563"/>
      <c r="C33" s="68" t="str">
        <f>+C32</f>
        <v>03_PAAC</v>
      </c>
      <c r="D33" s="566"/>
      <c r="E33" s="69" t="str">
        <f>C33&amp;"_I2"</f>
        <v>03_PAAC_I2</v>
      </c>
      <c r="F33" s="70" t="s">
        <v>1824</v>
      </c>
      <c r="G33" s="56" t="s">
        <v>2031</v>
      </c>
      <c r="H33" s="56" t="s">
        <v>2038</v>
      </c>
      <c r="I33" s="250" t="s">
        <v>2039</v>
      </c>
      <c r="J33" s="250" t="s">
        <v>2039</v>
      </c>
      <c r="K33" s="250" t="s">
        <v>2052</v>
      </c>
      <c r="L33" s="250" t="s">
        <v>2040</v>
      </c>
      <c r="M33" s="250" t="s">
        <v>2040</v>
      </c>
      <c r="N33" s="250" t="s">
        <v>2041</v>
      </c>
      <c r="O33" s="50"/>
      <c r="P33" s="50"/>
      <c r="Q33" s="50"/>
      <c r="R33" s="50"/>
      <c r="S33" s="50"/>
      <c r="T33" s="71"/>
    </row>
    <row r="34" spans="2:20" ht="129" customHeight="1" thickBot="1" x14ac:dyDescent="0.35">
      <c r="B34" s="564"/>
      <c r="C34" s="72" t="str">
        <f>+C33</f>
        <v>03_PAAC</v>
      </c>
      <c r="D34" s="567"/>
      <c r="E34" s="73" t="str">
        <f>C34&amp;"_I3"</f>
        <v>03_PAAC_I3</v>
      </c>
      <c r="F34" s="74" t="s">
        <v>1825</v>
      </c>
      <c r="G34" s="57" t="s">
        <v>2031</v>
      </c>
      <c r="H34" s="57" t="s">
        <v>2042</v>
      </c>
      <c r="I34" s="251" t="s">
        <v>2053</v>
      </c>
      <c r="J34" s="251" t="s">
        <v>2053</v>
      </c>
      <c r="K34" s="251" t="s">
        <v>2053</v>
      </c>
      <c r="L34" s="251" t="s">
        <v>2053</v>
      </c>
      <c r="M34" s="251" t="s">
        <v>2053</v>
      </c>
      <c r="N34" s="251" t="s">
        <v>2054</v>
      </c>
      <c r="O34" s="53"/>
      <c r="P34" s="53"/>
      <c r="Q34" s="53"/>
      <c r="R34" s="53"/>
      <c r="S34" s="53"/>
      <c r="T34" s="75"/>
    </row>
    <row r="35" spans="2:20" x14ac:dyDescent="0.3">
      <c r="B35" s="562" t="str">
        <f>+B10</f>
        <v>Oficina Asesora de Planeación</v>
      </c>
      <c r="C35" s="76" t="str">
        <f>+C13</f>
        <v>04_PAAC</v>
      </c>
      <c r="D35" s="565" t="str">
        <f>+VLOOKUP($C35,bd,MATCH(D$9,bdfila,0),0)</f>
        <v>Cumplir con el 100% de las actividades programadas en el componente 4 del Plan anticorrupción y Atención al Ciudadano</v>
      </c>
      <c r="E35" s="77" t="str">
        <f>C35&amp;"_V1"</f>
        <v>04_PAAC_V1</v>
      </c>
      <c r="F35" s="124" t="str">
        <f>+VLOOKUP(C35,bd,MATCH(H35,BD_metas!$A$5:$DB$5,0),0)</f>
        <v>Actividades ejecutadas</v>
      </c>
      <c r="G35" s="78" t="s">
        <v>2030</v>
      </c>
      <c r="H35" s="78" t="s">
        <v>1029</v>
      </c>
      <c r="I35" s="104">
        <v>1495</v>
      </c>
      <c r="J35" s="104">
        <v>2072</v>
      </c>
      <c r="K35" s="104">
        <v>1945</v>
      </c>
      <c r="L35" s="104">
        <v>3048</v>
      </c>
      <c r="M35" s="126">
        <v>2425</v>
      </c>
      <c r="N35" s="50">
        <v>3159</v>
      </c>
      <c r="O35" s="126"/>
      <c r="P35" s="126"/>
      <c r="Q35" s="126"/>
      <c r="R35" s="126"/>
      <c r="S35" s="126"/>
      <c r="T35" s="128"/>
    </row>
    <row r="36" spans="2:20" x14ac:dyDescent="0.3">
      <c r="B36" s="563"/>
      <c r="C36" s="68" t="str">
        <f>+C35</f>
        <v>04_PAAC</v>
      </c>
      <c r="D36" s="566"/>
      <c r="E36" s="69" t="str">
        <f>C36&amp;"_V2"</f>
        <v>04_PAAC_V2</v>
      </c>
      <c r="F36" s="70" t="str">
        <f>+VLOOKUP(C36,bd,MATCH(H36,BD_metas!$A$5:$DB$5,0),0)</f>
        <v>Actividades programadas</v>
      </c>
      <c r="G36" s="56" t="s">
        <v>2030</v>
      </c>
      <c r="H36" s="56" t="s">
        <v>1030</v>
      </c>
      <c r="I36" s="104">
        <v>1469</v>
      </c>
      <c r="J36" s="104">
        <v>1534</v>
      </c>
      <c r="K36" s="104">
        <v>1506</v>
      </c>
      <c r="L36" s="104">
        <v>1727</v>
      </c>
      <c r="M36" s="50">
        <v>1754</v>
      </c>
      <c r="N36" s="50">
        <v>2111</v>
      </c>
      <c r="O36" s="50"/>
      <c r="P36" s="50"/>
      <c r="Q36" s="50"/>
      <c r="R36" s="50"/>
      <c r="S36" s="50"/>
      <c r="T36" s="71"/>
    </row>
    <row r="37" spans="2:20" ht="124.5" customHeight="1" x14ac:dyDescent="0.3">
      <c r="B37" s="563"/>
      <c r="C37" s="68" t="str">
        <f>+C36</f>
        <v>04_PAAC</v>
      </c>
      <c r="D37" s="566"/>
      <c r="E37" s="69" t="str">
        <f>C36&amp;"_I1"</f>
        <v>04_PAAC_I1</v>
      </c>
      <c r="F37" s="70" t="s">
        <v>1823</v>
      </c>
      <c r="G37" s="56" t="s">
        <v>2031</v>
      </c>
      <c r="H37" s="56" t="s">
        <v>2032</v>
      </c>
      <c r="I37" s="250" t="s">
        <v>2055</v>
      </c>
      <c r="J37" s="250" t="s">
        <v>2055</v>
      </c>
      <c r="K37" s="250" t="s">
        <v>2056</v>
      </c>
      <c r="L37" s="250" t="s">
        <v>2056</v>
      </c>
      <c r="M37" s="250" t="s">
        <v>2056</v>
      </c>
      <c r="N37" s="258" t="s">
        <v>2057</v>
      </c>
      <c r="O37" s="50"/>
      <c r="P37" s="50"/>
      <c r="Q37" s="50"/>
      <c r="R37" s="50"/>
      <c r="S37" s="50"/>
      <c r="T37" s="71"/>
    </row>
    <row r="38" spans="2:20" ht="124.5" customHeight="1" x14ac:dyDescent="0.3">
      <c r="B38" s="563"/>
      <c r="C38" s="68" t="str">
        <f>+C37</f>
        <v>04_PAAC</v>
      </c>
      <c r="D38" s="566"/>
      <c r="E38" s="69" t="str">
        <f>C38&amp;"_I2"</f>
        <v>04_PAAC_I2</v>
      </c>
      <c r="F38" s="70" t="s">
        <v>1824</v>
      </c>
      <c r="G38" s="56" t="s">
        <v>2031</v>
      </c>
      <c r="H38" s="56" t="s">
        <v>2038</v>
      </c>
      <c r="I38" s="250" t="s">
        <v>2039</v>
      </c>
      <c r="J38" s="250" t="s">
        <v>2039</v>
      </c>
      <c r="K38" s="250" t="s">
        <v>2058</v>
      </c>
      <c r="L38" s="250" t="s">
        <v>2058</v>
      </c>
      <c r="M38" s="250" t="s">
        <v>2058</v>
      </c>
      <c r="N38" s="258" t="s">
        <v>2059</v>
      </c>
      <c r="O38" s="50"/>
      <c r="P38" s="50"/>
      <c r="Q38" s="50"/>
      <c r="R38" s="50"/>
      <c r="S38" s="50"/>
      <c r="T38" s="71"/>
    </row>
    <row r="39" spans="2:20" ht="124.5" customHeight="1" thickBot="1" x14ac:dyDescent="0.35">
      <c r="B39" s="564"/>
      <c r="C39" s="72" t="str">
        <f>+C38</f>
        <v>04_PAAC</v>
      </c>
      <c r="D39" s="567"/>
      <c r="E39" s="73" t="str">
        <f>C39&amp;"_I3"</f>
        <v>04_PAAC_I3</v>
      </c>
      <c r="F39" s="74" t="s">
        <v>1825</v>
      </c>
      <c r="G39" s="57" t="s">
        <v>2031</v>
      </c>
      <c r="H39" s="57" t="s">
        <v>2042</v>
      </c>
      <c r="I39" s="251" t="s">
        <v>2060</v>
      </c>
      <c r="J39" s="251" t="s">
        <v>2060</v>
      </c>
      <c r="K39" s="251" t="s">
        <v>2060</v>
      </c>
      <c r="L39" s="251" t="s">
        <v>2060</v>
      </c>
      <c r="M39" s="251" t="s">
        <v>2060</v>
      </c>
      <c r="N39" s="251" t="s">
        <v>2061</v>
      </c>
      <c r="O39" s="53"/>
      <c r="P39" s="53"/>
      <c r="Q39" s="53"/>
      <c r="R39" s="53"/>
      <c r="S39" s="53"/>
      <c r="T39" s="75"/>
    </row>
    <row r="40" spans="2:20" x14ac:dyDescent="0.3">
      <c r="B40" s="562" t="str">
        <f>+B10</f>
        <v>Oficina Asesora de Planeación</v>
      </c>
      <c r="C40" s="76" t="str">
        <f>+C14</f>
        <v>05_PAAC</v>
      </c>
      <c r="D40" s="565" t="str">
        <f>+VLOOKUP($C40,bd,MATCH(D$9,bdfila,0),0)</f>
        <v>Cumplir con el 100% de las actividades programadas en el componente 5 del Plan anticorrupción y Atención al Ciudadano</v>
      </c>
      <c r="E40" s="77" t="str">
        <f>C40&amp;"_V1"</f>
        <v>05_PAAC_V1</v>
      </c>
      <c r="F40" s="124" t="str">
        <f>+VLOOKUP(C40,bd,MATCH(H40,BD_metas!$A$5:$DB$5,0),0)</f>
        <v>Actividades ejecutadas</v>
      </c>
      <c r="G40" s="78" t="s">
        <v>2030</v>
      </c>
      <c r="H40" s="78" t="s">
        <v>1029</v>
      </c>
      <c r="I40" s="127">
        <v>17</v>
      </c>
      <c r="J40" s="127">
        <v>17</v>
      </c>
      <c r="K40" s="127">
        <v>17</v>
      </c>
      <c r="L40" s="126">
        <v>20</v>
      </c>
      <c r="M40" s="126">
        <v>24</v>
      </c>
      <c r="N40" s="126">
        <v>19</v>
      </c>
      <c r="O40" s="126"/>
      <c r="P40" s="126"/>
      <c r="Q40" s="126"/>
      <c r="R40" s="126"/>
      <c r="S40" s="126"/>
      <c r="T40" s="128"/>
    </row>
    <row r="41" spans="2:20" x14ac:dyDescent="0.3">
      <c r="B41" s="563"/>
      <c r="C41" s="68" t="str">
        <f>+C40</f>
        <v>05_PAAC</v>
      </c>
      <c r="D41" s="566"/>
      <c r="E41" s="69" t="str">
        <f>C41&amp;"_V2"</f>
        <v>05_PAAC_V2</v>
      </c>
      <c r="F41" s="70" t="str">
        <f>+VLOOKUP(C41,bd,MATCH(H41,BD_metas!$A$5:$DB$5,0),0)</f>
        <v>Actividades programadas</v>
      </c>
      <c r="G41" s="56" t="s">
        <v>2030</v>
      </c>
      <c r="H41" s="56" t="s">
        <v>1030</v>
      </c>
      <c r="I41" s="104">
        <v>17</v>
      </c>
      <c r="J41" s="104">
        <v>17</v>
      </c>
      <c r="K41" s="104">
        <v>17</v>
      </c>
      <c r="L41" s="50">
        <v>20</v>
      </c>
      <c r="M41" s="50">
        <v>24</v>
      </c>
      <c r="N41" s="50">
        <v>19</v>
      </c>
      <c r="O41" s="50"/>
      <c r="P41" s="50"/>
      <c r="Q41" s="50"/>
      <c r="R41" s="50"/>
      <c r="S41" s="50"/>
      <c r="T41" s="71"/>
    </row>
    <row r="42" spans="2:20" ht="105" customHeight="1" x14ac:dyDescent="0.3">
      <c r="B42" s="563"/>
      <c r="C42" s="68" t="str">
        <f>+C41</f>
        <v>05_PAAC</v>
      </c>
      <c r="D42" s="566"/>
      <c r="E42" s="69" t="str">
        <f>C41&amp;"_I1"</f>
        <v>05_PAAC_I1</v>
      </c>
      <c r="F42" s="70" t="s">
        <v>1823</v>
      </c>
      <c r="G42" s="56" t="s">
        <v>2031</v>
      </c>
      <c r="H42" s="56" t="s">
        <v>2032</v>
      </c>
      <c r="I42" s="250" t="s">
        <v>2062</v>
      </c>
      <c r="J42" s="250" t="s">
        <v>2062</v>
      </c>
      <c r="K42" s="250" t="s">
        <v>2063</v>
      </c>
      <c r="L42" s="250" t="s">
        <v>2064</v>
      </c>
      <c r="M42" s="250" t="s">
        <v>2065</v>
      </c>
      <c r="N42" s="250" t="s">
        <v>2066</v>
      </c>
      <c r="O42" s="50"/>
      <c r="P42" s="50"/>
      <c r="Q42" s="50"/>
      <c r="R42" s="50"/>
      <c r="S42" s="50"/>
      <c r="T42" s="71"/>
    </row>
    <row r="43" spans="2:20" ht="105" customHeight="1" x14ac:dyDescent="0.3">
      <c r="B43" s="563"/>
      <c r="C43" s="68" t="str">
        <f>+C42</f>
        <v>05_PAAC</v>
      </c>
      <c r="D43" s="566"/>
      <c r="E43" s="69" t="str">
        <f>C43&amp;"_I2"</f>
        <v>05_PAAC_I2</v>
      </c>
      <c r="F43" s="70" t="s">
        <v>1824</v>
      </c>
      <c r="G43" s="56" t="s">
        <v>2031</v>
      </c>
      <c r="H43" s="56" t="s">
        <v>2038</v>
      </c>
      <c r="I43" s="250" t="s">
        <v>2039</v>
      </c>
      <c r="J43" s="250" t="s">
        <v>2039</v>
      </c>
      <c r="K43" s="250" t="s">
        <v>2040</v>
      </c>
      <c r="L43" s="250" t="s">
        <v>2067</v>
      </c>
      <c r="M43" s="250" t="s">
        <v>2068</v>
      </c>
      <c r="N43" s="250" t="s">
        <v>2041</v>
      </c>
      <c r="O43" s="50"/>
      <c r="P43" s="50"/>
      <c r="Q43" s="50"/>
      <c r="R43" s="50"/>
      <c r="S43" s="50"/>
      <c r="T43" s="71"/>
    </row>
    <row r="44" spans="2:20" ht="105" customHeight="1" thickBot="1" x14ac:dyDescent="0.35">
      <c r="B44" s="564"/>
      <c r="C44" s="72" t="str">
        <f>+C43</f>
        <v>05_PAAC</v>
      </c>
      <c r="D44" s="567"/>
      <c r="E44" s="73" t="str">
        <f>C44&amp;"_I3"</f>
        <v>05_PAAC_I3</v>
      </c>
      <c r="F44" s="74" t="s">
        <v>1825</v>
      </c>
      <c r="G44" s="57" t="s">
        <v>2031</v>
      </c>
      <c r="H44" s="57" t="s">
        <v>2042</v>
      </c>
      <c r="I44" s="251" t="s">
        <v>2069</v>
      </c>
      <c r="J44" s="251" t="s">
        <v>2069</v>
      </c>
      <c r="K44" s="251" t="s">
        <v>2069</v>
      </c>
      <c r="L44" s="251" t="s">
        <v>2069</v>
      </c>
      <c r="M44" s="251" t="s">
        <v>2069</v>
      </c>
      <c r="N44" s="251" t="s">
        <v>2070</v>
      </c>
      <c r="O44" s="53"/>
      <c r="P44" s="53"/>
      <c r="Q44" s="53"/>
      <c r="R44" s="53"/>
      <c r="S44" s="53"/>
      <c r="T44" s="75"/>
    </row>
    <row r="45" spans="2:20" x14ac:dyDescent="0.3">
      <c r="B45" s="562" t="str">
        <f>+B10</f>
        <v>Oficina Asesora de Planeación</v>
      </c>
      <c r="C45" s="76" t="str">
        <f>+C15</f>
        <v>06_PAAC</v>
      </c>
      <c r="D45" s="565" t="str">
        <f>+VLOOKUP($C45,bd,MATCH(D$9,bdfila,0),0)</f>
        <v>Cumplir con el 100% de las actividades programadas en el componente 6 del Plan anticorrupción y Atención al Ciudadano</v>
      </c>
      <c r="E45" s="77" t="str">
        <f>C45&amp;"_V1"</f>
        <v>06_PAAC_V1</v>
      </c>
      <c r="F45" s="124" t="str">
        <f>+VLOOKUP(C45,bd,MATCH(H45,BD_metas!$A$5:$DB$5,0),0)</f>
        <v>Actividades ejecutadas</v>
      </c>
      <c r="G45" s="78" t="s">
        <v>2030</v>
      </c>
      <c r="H45" s="78" t="s">
        <v>1029</v>
      </c>
      <c r="I45" s="127"/>
      <c r="J45" s="127"/>
      <c r="K45" s="127"/>
      <c r="L45" s="126">
        <v>1</v>
      </c>
      <c r="M45" s="127"/>
      <c r="N45" s="126">
        <v>0</v>
      </c>
      <c r="O45" s="126"/>
      <c r="P45" s="126"/>
      <c r="Q45" s="126"/>
      <c r="R45" s="126"/>
      <c r="S45" s="126"/>
      <c r="T45" s="128"/>
    </row>
    <row r="46" spans="2:20" x14ac:dyDescent="0.3">
      <c r="B46" s="563"/>
      <c r="C46" s="68" t="str">
        <f>+C45</f>
        <v>06_PAAC</v>
      </c>
      <c r="D46" s="566"/>
      <c r="E46" s="69" t="str">
        <f>C46&amp;"_V2"</f>
        <v>06_PAAC_V2</v>
      </c>
      <c r="F46" s="70" t="str">
        <f>+VLOOKUP(C46,bd,MATCH(H46,BD_metas!$A$5:$DB$5,0),0)</f>
        <v>Actividades programadas</v>
      </c>
      <c r="G46" s="56" t="s">
        <v>2030</v>
      </c>
      <c r="H46" s="56" t="s">
        <v>1030</v>
      </c>
      <c r="I46" s="104"/>
      <c r="J46" s="104"/>
      <c r="K46" s="104"/>
      <c r="L46" s="50">
        <v>1</v>
      </c>
      <c r="M46" s="104"/>
      <c r="N46" s="50">
        <v>0</v>
      </c>
      <c r="O46" s="50"/>
      <c r="P46" s="50"/>
      <c r="Q46" s="50"/>
      <c r="R46" s="50"/>
      <c r="S46" s="50"/>
      <c r="T46" s="71"/>
    </row>
    <row r="47" spans="2:20" ht="114" customHeight="1" thickBot="1" x14ac:dyDescent="0.35">
      <c r="B47" s="563"/>
      <c r="C47" s="68" t="str">
        <f>+C46</f>
        <v>06_PAAC</v>
      </c>
      <c r="D47" s="566"/>
      <c r="E47" s="69" t="str">
        <f>C46&amp;"_I1"</f>
        <v>06_PAAC_I1</v>
      </c>
      <c r="F47" s="70" t="s">
        <v>1823</v>
      </c>
      <c r="G47" s="56" t="s">
        <v>2031</v>
      </c>
      <c r="H47" s="56" t="s">
        <v>2032</v>
      </c>
      <c r="I47" s="104" t="s">
        <v>1144</v>
      </c>
      <c r="J47" s="104" t="s">
        <v>1144</v>
      </c>
      <c r="K47" s="104" t="s">
        <v>1144</v>
      </c>
      <c r="L47" s="251" t="s">
        <v>2071</v>
      </c>
      <c r="M47" s="104" t="s">
        <v>1144</v>
      </c>
      <c r="N47" s="104" t="s">
        <v>1144</v>
      </c>
      <c r="O47" s="50"/>
      <c r="P47" s="50"/>
      <c r="Q47" s="50"/>
      <c r="R47" s="50"/>
      <c r="S47" s="50"/>
      <c r="T47" s="71"/>
    </row>
    <row r="48" spans="2:20" ht="114" customHeight="1" x14ac:dyDescent="0.3">
      <c r="B48" s="563"/>
      <c r="C48" s="68" t="str">
        <f>+C47</f>
        <v>06_PAAC</v>
      </c>
      <c r="D48" s="566"/>
      <c r="E48" s="69" t="str">
        <f>C48&amp;"_I2"</f>
        <v>06_PAAC_I2</v>
      </c>
      <c r="F48" s="70" t="s">
        <v>1824</v>
      </c>
      <c r="G48" s="56" t="s">
        <v>2031</v>
      </c>
      <c r="H48" s="56" t="s">
        <v>2038</v>
      </c>
      <c r="I48" s="104" t="s">
        <v>1144</v>
      </c>
      <c r="J48" s="104" t="s">
        <v>1144</v>
      </c>
      <c r="K48" s="104" t="s">
        <v>1144</v>
      </c>
      <c r="L48" s="250" t="s">
        <v>2067</v>
      </c>
      <c r="M48" s="104" t="s">
        <v>1144</v>
      </c>
      <c r="N48" s="104" t="s">
        <v>1144</v>
      </c>
      <c r="O48" s="50"/>
      <c r="P48" s="50"/>
      <c r="Q48" s="50"/>
      <c r="R48" s="50"/>
      <c r="S48" s="50"/>
      <c r="T48" s="71"/>
    </row>
    <row r="49" spans="2:20" ht="114" customHeight="1" thickBot="1" x14ac:dyDescent="0.35">
      <c r="B49" s="564"/>
      <c r="C49" s="72" t="str">
        <f>+C48</f>
        <v>06_PAAC</v>
      </c>
      <c r="D49" s="567"/>
      <c r="E49" s="73" t="str">
        <f>C49&amp;"_I3"</f>
        <v>06_PAAC_I3</v>
      </c>
      <c r="F49" s="74" t="s">
        <v>1825</v>
      </c>
      <c r="G49" s="57" t="s">
        <v>2031</v>
      </c>
      <c r="H49" s="57" t="s">
        <v>2042</v>
      </c>
      <c r="I49" s="107" t="s">
        <v>1144</v>
      </c>
      <c r="J49" s="107" t="s">
        <v>1144</v>
      </c>
      <c r="K49" s="107" t="s">
        <v>1144</v>
      </c>
      <c r="L49" s="251" t="s">
        <v>2072</v>
      </c>
      <c r="M49" s="107" t="s">
        <v>1144</v>
      </c>
      <c r="N49" s="107" t="s">
        <v>1144</v>
      </c>
      <c r="O49" s="53"/>
      <c r="P49" s="53"/>
      <c r="Q49" s="53"/>
      <c r="R49" s="53"/>
      <c r="S49" s="53"/>
      <c r="T49" s="75"/>
    </row>
  </sheetData>
  <sheetProtection algorithmName="SHA-512" hashValue="/1uS8dQp1DggMexMR6lwmm14Um18FsY1pFYIn0vSHqz26747ZP8j1MDkezJYSLVXioCxpfTY7fept80q5UN6tg==" saltValue="tU5HLHx1xAlLTJzAmBOGfg==" spinCount="100000" sheet="1" formatColumns="0" formatRows="0"/>
  <protectedRanges>
    <protectedRange algorithmName="SHA-512" hashValue="nN9b3eSG6FfH5y5yaDSicL95fCvVL1D7GRoxKM1qqDF90a0B5sh01gsEuZJXswq59nXyna3vm8TWN+mBk7l4fQ==" saltValue="7ExB9T/boR2g60kbGC6rBA==" spinCount="100000" sqref="N20:N49" name="Reporte2"/>
    <protectedRange algorithmName="SHA-512" hashValue="12vaqXUxDmQrGP85k4DUR5pbPujqWQnj+wIEssN/UBOHZkwPqF8kK5xwnTN3f564QwiQWFmnxsuxDr+FSncY0w==" saltValue="D0hDVKRlMkYmsXvEX145rQ==" spinCount="100000" sqref="I10:T15 V10:V15 X10:AA15 I20:M49" name="Reporte1"/>
  </protectedRanges>
  <mergeCells count="29">
    <mergeCell ref="B7:C7"/>
    <mergeCell ref="B1:F1"/>
    <mergeCell ref="B2:F2"/>
    <mergeCell ref="X8:AA8"/>
    <mergeCell ref="B10:B15"/>
    <mergeCell ref="B8:C8"/>
    <mergeCell ref="E14:F14"/>
    <mergeCell ref="E15:F15"/>
    <mergeCell ref="E11:F11"/>
    <mergeCell ref="E12:F12"/>
    <mergeCell ref="E13:F13"/>
    <mergeCell ref="I8:T8"/>
    <mergeCell ref="I18:T18"/>
    <mergeCell ref="B30:B34"/>
    <mergeCell ref="D30:D34"/>
    <mergeCell ref="B20:B24"/>
    <mergeCell ref="D20:D24"/>
    <mergeCell ref="B17:C17"/>
    <mergeCell ref="B18:C18"/>
    <mergeCell ref="B25:B29"/>
    <mergeCell ref="D25:D29"/>
    <mergeCell ref="E9:F9"/>
    <mergeCell ref="E10:F10"/>
    <mergeCell ref="B45:B49"/>
    <mergeCell ref="D45:D49"/>
    <mergeCell ref="B35:B39"/>
    <mergeCell ref="D35:D39"/>
    <mergeCell ref="B40:B44"/>
    <mergeCell ref="D40:D44"/>
  </mergeCells>
  <phoneticPr fontId="11" type="noConversion"/>
  <dataValidations xWindow="868" yWindow="387" count="21">
    <dataValidation type="list" allowBlank="1" showInputMessage="1" showErrorMessage="1" sqref="C30 C25 C20 C35 C40 C45" xr:uid="{00000000-0002-0000-0900-000000000000}">
      <formula1>INDIRECT($A$10)</formula1>
    </dataValidation>
    <dataValidation type="list" allowBlank="1" showInputMessage="1" showErrorMessage="1" prompt="Seleccione de la lista desplegable la Tendencia Mensual de la Meta. Para esto tenga en cuenta la evolución MENSUAL de la meta programada. Las opciones disponibles son: Constante, Creciente, Suma, Decreciente." sqref="V10:V15" xr:uid="{00000000-0002-0000-0900-000001000000}">
      <formula1>"Constante,Creciente,Decreciente,Suma"</formula1>
    </dataValidation>
    <dataValidation allowBlank="1" showInputMessage="1" showErrorMessage="1" prompt="Corresponde al nombre del Proyecto de Inversión" sqref="C3:F3" xr:uid="{00000000-0002-0000-0900-000002000000}"/>
    <dataValidation allowBlank="1" showInputMessage="1" showErrorMessage="1" prompt="Corresponde al nombre del funcionario que ejerce la Gerencia del Proyecto de Inversión" sqref="C4:F4" xr:uid="{00000000-0002-0000-0900-000003000000}"/>
    <dataValidation allowBlank="1" showInputMessage="1" showErrorMessage="1" prompt="Corresponde al funcionario encargado de realizar el seguimiento del Proyecto de Inversión" sqref="C5:F5" xr:uid="{00000000-0002-0000-0900-000004000000}"/>
    <dataValidation type="list" allowBlank="1" showInputMessage="1" showErrorMessage="1" prompt="Corresponde a los ID de los indicadores del Proyecto de Inversión" sqref="C10:C15" xr:uid="{00000000-0002-0000-0900-000005000000}">
      <formula1>INDIRECT($A$10)</formula1>
    </dataValidation>
    <dataValidation allowBlank="1" showInputMessage="1" showErrorMessage="1" prompt="Corresponde a las metas del Proyecto de Inversión" sqref="D10:D15" xr:uid="{00000000-0002-0000-0900-000006000000}"/>
    <dataValidation allowBlank="1" showInputMessage="1" showErrorMessage="1" prompt="Corresponde a los nombres de los indicadores del Proyecto de Inversión" sqref="E10:F15" xr:uid="{00000000-0002-0000-0900-000007000000}"/>
    <dataValidation allowBlank="1" showInputMessage="1" showErrorMessage="1" prompt="Corresponde a la tendencia anual del indicador" sqref="G10:G15" xr:uid="{00000000-0002-0000-0900-000008000000}"/>
    <dataValidation allowBlank="1" showInputMessage="1" showErrorMessage="1" prompt="Corresponde a la unidad de medida del indicador" sqref="H10:H15" xr:uid="{00000000-0002-0000-0900-000009000000}"/>
    <dataValidation allowBlank="1" showInputMessage="1" showErrorMessage="1" prompt="Corresponde a la Meta Programada para el 2020" sqref="U10:U15" xr:uid="{00000000-0002-0000-0900-00000A000000}"/>
    <dataValidation allowBlank="1" showInputMessage="1" showErrorMessage="1" prompt="Sólo aplica para los indicadores que cumplan estas dos condiciones: 1) Tendencia Anual = Constante o Creciente. 2) Tendencia Mensual = Suma._x000a_Corresponde a la sumatoria de las magnitudes mensuales programadas para la vigencia." sqref="W10:W15" xr:uid="{00000000-0002-0000-0900-00000B000000}"/>
    <dataValidation allowBlank="1" showInputMessage="1" showErrorMessage="1" prompt="Diligencie la información más actualizada del indicador. En el caso que el proyecto lo requiera: se debe completar, ampliar o modificar la Descripción, las Actividades, los Beneficios y las Fuentes de Verificación que actualmente sea asocian al indicador." sqref="X10:AA15" xr:uid="{00000000-0002-0000-0900-00000C000000}"/>
    <dataValidation allowBlank="1" showInputMessage="1" showErrorMessage="1" prompt="Corresponde al código de la variable que se reporta. Se compone del ID del Indicador y el denotativo de la Variable (V1, V2, I1, I2, I3)" sqref="E20:E49" xr:uid="{00000000-0002-0000-0900-00000D000000}"/>
    <dataValidation allowBlank="1" showInputMessage="1" showErrorMessage="1" prompt="Corresponde a la clasificación de la variable que se reporta." sqref="H20:H49" xr:uid="{00000000-0002-0000-0900-00000E000000}"/>
    <dataValidation allowBlank="1" showInputMessage="1" showErrorMessage="1" prompt="Programe la magnitud de la Meta para cada uno de los meses, tenga en cuenta la Meta total programada para la vigencia, asi como la tendencia y la unidad de medida" sqref="I10:T15 I35:L36" xr:uid="{00000000-0002-0000-0900-00000F000000}"/>
    <dataValidation allowBlank="1" showInputMessage="1" showErrorMessage="1" prompt="Diligencie la magnitud de la variable 1 del indicador para cada uno de los meses correspondientes a la fecha de corte del reporte" sqref="I40:T40 I20:T20 I30:T30 I25:T25 M35:T35 I45:T45" xr:uid="{00000000-0002-0000-0900-000010000000}"/>
    <dataValidation allowBlank="1" showInputMessage="1" showErrorMessage="1" prompt="Diligencie la magnitud de la variable 2 del indicador para cada uno de los meses correspondientes a la fecha de corte del reporte. Este campo aplica unicamente para los indicadores que tienen variable 2." sqref="I41:T41 I21:T21 I31:T31 I26:T26 M36:T36 I46:T46" xr:uid="{00000000-0002-0000-0900-000011000000}"/>
    <dataValidation allowBlank="1" showInputMessage="1" showErrorMessage="1" prompt="Redacte el avance en la gestión del indicador para cada uno de los meses correspondientes a la fecha de corte del reporte" sqref="I42:T42 I37:T37 I32:T32 I27:T27 I22:T22 I47:T47" xr:uid="{00000000-0002-0000-0900-000012000000}"/>
    <dataValidation allowBlank="1" showInputMessage="1" showErrorMessage="1" prompt="Redacte las dificultades o retrasos, y soluciones propuestas del indicador para cada uno de los meses correspondientes a la fecha de corte del reporte" sqref="I43:T43 I38:T38 I33:T33 I28:T28 I23:T23 I48:T48" xr:uid="{00000000-0002-0000-0900-000013000000}"/>
    <dataValidation allowBlank="1" showInputMessage="1" showErrorMessage="1" prompt="Redacte los beneficios, logros y resultados del indicador para cada uno de los meses correspondientes a la fecha de corte del reporte" sqref="I44:T44 I39:T39 I34:T34 I29:T29 I24:T24 I49:T49" xr:uid="{00000000-0002-0000-0900-000014000000}"/>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xWindow="868" yWindow="387" count="2">
        <x14:dataValidation type="list" allowBlank="1" showInputMessage="1" showErrorMessage="1" xr:uid="{00000000-0002-0000-0900-000015000000}">
          <x14:formula1>
            <xm:f>Listas!$A$4:$A$18</xm:f>
          </x14:formula1>
          <xm:sqref>B20 B25 B30 B35 B40 B45</xm:sqref>
        </x14:dataValidation>
        <x14:dataValidation type="list" allowBlank="1" showInputMessage="1" showErrorMessage="1" prompt="Corresponde a la(s) dependencia(s) asociada(s) al Proyecto de Inversión" xr:uid="{00000000-0002-0000-0900-000016000000}">
          <x14:formula1>
            <xm:f>Listas!$A$4:$A$18</xm:f>
          </x14:formula1>
          <xm:sqref>B10:B15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dimension ref="A1:V91"/>
  <sheetViews>
    <sheetView showGridLines="0" zoomScale="70" zoomScaleNormal="70" workbookViewId="0">
      <selection activeCell="C15" sqref="C15"/>
    </sheetView>
  </sheetViews>
  <sheetFormatPr baseColWidth="10" defaultColWidth="11.5546875" defaultRowHeight="14.4" x14ac:dyDescent="0.3"/>
  <cols>
    <col min="1" max="1" width="4.6640625" style="15" customWidth="1"/>
    <col min="2" max="2" width="29.109375" style="15" customWidth="1"/>
    <col min="3" max="3" width="23.44140625" style="15" customWidth="1"/>
    <col min="4" max="4" width="11.5546875" style="15"/>
    <col min="5" max="5" width="47" style="15" customWidth="1"/>
    <col min="6" max="6" width="17.33203125" style="15" customWidth="1"/>
    <col min="7" max="7" width="37.109375" style="15" customWidth="1"/>
    <col min="8" max="8" width="20.109375" style="15" customWidth="1"/>
    <col min="9" max="9" width="27.6640625" style="15" customWidth="1"/>
    <col min="10" max="16" width="16.44140625" style="15" customWidth="1"/>
    <col min="17" max="17" width="20.44140625" style="15" customWidth="1"/>
    <col min="18" max="18" width="21.109375" style="15" customWidth="1"/>
    <col min="19" max="19" width="37.33203125" style="15" customWidth="1"/>
    <col min="20" max="20" width="54.33203125" style="15" customWidth="1"/>
    <col min="21" max="21" width="43.109375" style="15" customWidth="1"/>
    <col min="22" max="22" width="50.33203125" style="15" customWidth="1"/>
    <col min="23" max="16384" width="11.5546875" style="15"/>
  </cols>
  <sheetData>
    <row r="1" spans="1:22" ht="23.4" x14ac:dyDescent="0.45">
      <c r="B1" s="579" t="s">
        <v>2004</v>
      </c>
      <c r="C1" s="603"/>
      <c r="D1" s="580"/>
      <c r="E1" s="580"/>
      <c r="F1" s="580"/>
      <c r="G1" s="581"/>
    </row>
    <row r="2" spans="1:22" ht="18.75" customHeight="1" x14ac:dyDescent="0.3">
      <c r="B2" s="582" t="s">
        <v>9</v>
      </c>
      <c r="C2" s="583"/>
      <c r="D2" s="583"/>
      <c r="E2" s="583"/>
      <c r="F2" s="583"/>
      <c r="G2" s="584"/>
    </row>
    <row r="6" spans="1:22" ht="15" thickBot="1" x14ac:dyDescent="0.35"/>
    <row r="7" spans="1:22" ht="18.600000000000001" thickBot="1" x14ac:dyDescent="0.4">
      <c r="B7" s="577" t="s">
        <v>2006</v>
      </c>
      <c r="C7" s="602"/>
      <c r="D7" s="578"/>
    </row>
    <row r="8" spans="1:22" ht="15" thickBot="1" x14ac:dyDescent="0.35">
      <c r="B8" s="606" t="s">
        <v>2007</v>
      </c>
      <c r="C8" s="607"/>
      <c r="D8" s="608"/>
      <c r="J8" s="600" t="s">
        <v>2008</v>
      </c>
      <c r="K8" s="601"/>
      <c r="L8" s="601"/>
      <c r="M8" s="601"/>
      <c r="N8" s="601"/>
      <c r="O8" s="601"/>
      <c r="S8" s="597" t="s">
        <v>2009</v>
      </c>
      <c r="T8" s="598"/>
      <c r="U8" s="598"/>
      <c r="V8" s="599"/>
    </row>
    <row r="9" spans="1:22" ht="31.95" customHeight="1" x14ac:dyDescent="0.3">
      <c r="B9" s="168" t="s">
        <v>1868</v>
      </c>
      <c r="C9" s="180" t="s">
        <v>2073</v>
      </c>
      <c r="D9" s="169" t="s">
        <v>2010</v>
      </c>
      <c r="E9" s="436" t="s">
        <v>1792</v>
      </c>
      <c r="F9" s="572" t="s">
        <v>541</v>
      </c>
      <c r="G9" s="572"/>
      <c r="H9" s="436" t="s">
        <v>544</v>
      </c>
      <c r="I9" s="436" t="s">
        <v>413</v>
      </c>
      <c r="J9" s="436" t="s">
        <v>419</v>
      </c>
      <c r="K9" s="436" t="s">
        <v>420</v>
      </c>
      <c r="L9" s="436" t="s">
        <v>421</v>
      </c>
      <c r="M9" s="436" t="s">
        <v>422</v>
      </c>
      <c r="N9" s="436" t="s">
        <v>423</v>
      </c>
      <c r="O9" s="436" t="s">
        <v>424</v>
      </c>
      <c r="P9" s="436" t="s">
        <v>425</v>
      </c>
      <c r="Q9" s="436" t="s">
        <v>416</v>
      </c>
      <c r="R9" s="436" t="s">
        <v>417</v>
      </c>
      <c r="S9" s="436" t="s">
        <v>426</v>
      </c>
      <c r="T9" s="436" t="s">
        <v>427</v>
      </c>
      <c r="U9" s="436" t="s">
        <v>428</v>
      </c>
      <c r="V9" s="187" t="s">
        <v>429</v>
      </c>
    </row>
    <row r="10" spans="1:22" ht="43.95" hidden="1" customHeight="1" x14ac:dyDescent="0.3">
      <c r="A10" s="92" t="str">
        <f t="shared" ref="A10:A22" si="0">+VLOOKUP(B10,responsables,8,0)</f>
        <v>oap</v>
      </c>
      <c r="B10" s="576" t="s">
        <v>105</v>
      </c>
      <c r="C10" s="435" t="str">
        <f t="shared" ref="C10:C22" si="1">+VLOOKUP(D10,bd,MATCH("PROCESO: ",bdfila,0),0)</f>
        <v>Direccionamiento estratégico</v>
      </c>
      <c r="D10" s="435" t="s">
        <v>338</v>
      </c>
      <c r="E10" s="435" t="str">
        <f t="shared" ref="E10:I22" si="2">+VLOOKUP($D10,bd,MATCH(E$9,bdfila,0),0)</f>
        <v>Elaborar el Anteproyecto de Presupuesto Secretaria General</v>
      </c>
      <c r="F10" s="573" t="str">
        <f>+VLOOKUP($D10,bd,MATCH(F$9,bdfila,0),0)</f>
        <v>Anteproyecto de Presupuesto Secretaria General,  radicados</v>
      </c>
      <c r="G10" s="573"/>
      <c r="H10" s="435" t="str">
        <f t="shared" si="2"/>
        <v>Constante</v>
      </c>
      <c r="I10" s="435" t="str">
        <f t="shared" si="2"/>
        <v>Número</v>
      </c>
      <c r="J10" s="66"/>
      <c r="K10" s="66"/>
      <c r="L10" s="66"/>
      <c r="M10" s="66"/>
      <c r="N10" s="66"/>
      <c r="O10" s="66"/>
      <c r="P10" s="121">
        <f t="shared" ref="P10:P22" si="3">+VLOOKUP($D10,bd,MATCH(P$9,bdfila,0),0)</f>
        <v>1</v>
      </c>
      <c r="Q10" s="66" t="s">
        <v>638</v>
      </c>
      <c r="R10" s="173">
        <f t="shared" ref="R10:R22" si="4">+IF(Q10="Suma",SUM(J10:O10),"")</f>
        <v>0</v>
      </c>
      <c r="S10" s="122" t="str">
        <f>+VLOOKUP($D10,bd,MATCH(S$9,BD_metas!$A$5:$DB$5,0),0)</f>
        <v>Mide el avance de la presentación ante las entidades distritales del Libro del Anteproyecto de Presupuesto para la Vigencia 2020.</v>
      </c>
      <c r="T10" s="122" t="str">
        <f>+VLOOKUP($D10,bd,MATCH(T$9,BD_metas!$A$5:$DB$5,0),0)</f>
        <v>Desarrollo de anteproyecto de presupuesto</v>
      </c>
      <c r="U10" s="122" t="str">
        <f>+VLOOKUP($D10,bd,MATCH(U$9,BD_metas!$A$5:$DB$5,0),0)</f>
        <v>Programación para una eficiente ejecución de los recursos de la entidad</v>
      </c>
      <c r="V10" s="123" t="str">
        <f>+VLOOKUP($D10,bd,MATCH(V$9,BD_metas!$A$5:$DB$5,0),0)</f>
        <v>Presentación del Libro de Anteproyecto de Presupuesto Vigencia 2020.</v>
      </c>
    </row>
    <row r="11" spans="1:22" ht="43.95" customHeight="1" thickBot="1" x14ac:dyDescent="0.35">
      <c r="A11" s="92" t="e">
        <f t="shared" si="0"/>
        <v>#N/A</v>
      </c>
      <c r="B11" s="564"/>
      <c r="C11" s="433" t="str">
        <f t="shared" si="1"/>
        <v>Direccionamiento estratégico</v>
      </c>
      <c r="D11" s="433" t="s">
        <v>340</v>
      </c>
      <c r="E11" s="433" t="str">
        <f t="shared" si="2"/>
        <v xml:space="preserve">Realizar el monitoreo a la ejecución del Plan Anticorrupción y de Atención al Ciudadano - PAAC </v>
      </c>
      <c r="F11" s="567" t="str">
        <f>+VLOOKUP($D11,bd,MATCH(F$9,bdfila,0),0)</f>
        <v xml:space="preserve">Plan Anticorrupción y de Atención al Ciudadano - PAAC con monitoreo a la ejecución. </v>
      </c>
      <c r="G11" s="567"/>
      <c r="H11" s="433" t="str">
        <f t="shared" si="2"/>
        <v>Constante</v>
      </c>
      <c r="I11" s="433" t="str">
        <f t="shared" si="2"/>
        <v>Porcentaje</v>
      </c>
      <c r="J11" s="53"/>
      <c r="K11" s="53"/>
      <c r="L11" s="53"/>
      <c r="M11" s="53"/>
      <c r="N11" s="53">
        <v>1</v>
      </c>
      <c r="O11" s="53"/>
      <c r="P11" s="54">
        <f t="shared" si="3"/>
        <v>100</v>
      </c>
      <c r="Q11" s="53" t="s">
        <v>638</v>
      </c>
      <c r="R11" s="55">
        <f t="shared" si="4"/>
        <v>1</v>
      </c>
      <c r="S11" s="95" t="str">
        <f>+VLOOKUP($D11,bd,MATCH(S$9,BD_metas!$A$5:$DB$5,0),0)</f>
        <v>Mide el monitoreo realizado por la OAP al cumplimiento de la aplicación del Plan Anticorrupción en la Entidad.</v>
      </c>
      <c r="T11" s="95" t="s">
        <v>2074</v>
      </c>
      <c r="U11" s="95" t="str">
        <f>+VLOOKUP($D11,bd,MATCH(U$9,BD_metas!$A$5:$DB$5,0),0)</f>
        <v>Cumplimiento del 100% de las actividades programadas en el marco de la lucha contra la corrupción en la Secretaria General de la Alcaldía mayor de Bogotá.</v>
      </c>
      <c r="V11" s="96" t="s">
        <v>2075</v>
      </c>
    </row>
    <row r="12" spans="1:22" ht="43.95" customHeight="1" x14ac:dyDescent="0.3">
      <c r="A12" s="92" t="str">
        <f t="shared" si="0"/>
        <v>oaj</v>
      </c>
      <c r="B12" s="562" t="s">
        <v>155</v>
      </c>
      <c r="C12" s="434" t="str">
        <f t="shared" si="1"/>
        <v>Gestión Jurídica</v>
      </c>
      <c r="D12" s="434">
        <v>153</v>
      </c>
      <c r="E12" s="434" t="str">
        <f t="shared" si="2"/>
        <v>Realizar el análisis jurídico de anteproyectos, proyectos de acuerdo y proyectos de ley solicitados a la Oficina Asesora de Jurídica</v>
      </c>
      <c r="F12" s="565" t="str">
        <f t="shared" si="2"/>
        <v>Análisis jurídico de anteproyectos, proyectos de acuerdo y proyectos de ley, solicitados a la Oficina Asesora de Jurídica, realizado</v>
      </c>
      <c r="G12" s="565"/>
      <c r="H12" s="434" t="str">
        <f t="shared" si="2"/>
        <v>Constante</v>
      </c>
      <c r="I12" s="434" t="str">
        <f t="shared" si="2"/>
        <v>Porcentaje</v>
      </c>
      <c r="J12" s="126">
        <v>100</v>
      </c>
      <c r="K12" s="126">
        <v>100</v>
      </c>
      <c r="L12" s="126">
        <v>100</v>
      </c>
      <c r="M12" s="126">
        <v>100</v>
      </c>
      <c r="N12" s="126">
        <v>100</v>
      </c>
      <c r="O12" s="126">
        <v>100</v>
      </c>
      <c r="P12" s="170">
        <f t="shared" si="3"/>
        <v>100</v>
      </c>
      <c r="Q12" s="126" t="s">
        <v>601</v>
      </c>
      <c r="R12" s="171" t="str">
        <f t="shared" si="4"/>
        <v/>
      </c>
      <c r="S12" s="172" t="str">
        <f>+VLOOKUP($D12,bd,MATCH(S$9,BD_metas!$A$5:$DB$5,0),0)</f>
        <v>El indicador mide la cantidad de anteproyectos y proyectos de Acuerdo y proyectos de Ley  analizados por la Oficina Asesora de Jurídica frente a las solicitudes que   se presenten a la Dependencia.</v>
      </c>
      <c r="T12" s="172" t="str">
        <f>+VLOOKUP($D12,bd,MATCH(T$9,BD_metas!$A$5:$DB$5,0),0)</f>
        <v>Realizar el análisis jurídico de los anteproyectos, proyectos de Acuerdo y de Ley que sean solicitados a la Oficina Asesora de Jurídica con el fin de que la Secretaría General emita conceptos de viabilidad solamente a los que se ajusten a derecho</v>
      </c>
      <c r="U12" s="172" t="str">
        <f>+VLOOKUP($D12,bd,MATCH(U$9,BD_metas!$A$5:$DB$5,0),0)</f>
        <v>Respaldar jurídicamente a la Secretaría General para avalar solamente los proyectos de acuerdo y de ley que se ajusten al ordenamiento jurídico y que tengan relación con las funciones de la entidad.</v>
      </c>
      <c r="V12" s="174" t="str">
        <f>+VLOOKUP($D12,bd,MATCH(V$9,BD_metas!$A$5:$DB$5,0),0)</f>
        <v>Base de datos en excel</v>
      </c>
    </row>
    <row r="13" spans="1:22" ht="43.95" customHeight="1" x14ac:dyDescent="0.3">
      <c r="A13" s="92" t="e">
        <f t="shared" si="0"/>
        <v>#N/A</v>
      </c>
      <c r="B13" s="563"/>
      <c r="C13" s="432" t="str">
        <f t="shared" si="1"/>
        <v>Gestión Jurídica</v>
      </c>
      <c r="D13" s="432">
        <v>154</v>
      </c>
      <c r="E13" s="432" t="str">
        <f t="shared" si="2"/>
        <v>Emitir oportunamente los conceptos jurídicos solicitados</v>
      </c>
      <c r="F13" s="566" t="str">
        <f t="shared" si="2"/>
        <v>Conceptos jurídicos emitidos oportunamente</v>
      </c>
      <c r="G13" s="566"/>
      <c r="H13" s="432" t="str">
        <f t="shared" si="2"/>
        <v>Constante</v>
      </c>
      <c r="I13" s="432" t="str">
        <f t="shared" si="2"/>
        <v>Porcentaje</v>
      </c>
      <c r="J13" s="50">
        <v>100</v>
      </c>
      <c r="K13" s="50">
        <v>100</v>
      </c>
      <c r="L13" s="50">
        <v>100</v>
      </c>
      <c r="M13" s="50">
        <v>100</v>
      </c>
      <c r="N13" s="50">
        <v>100</v>
      </c>
      <c r="O13" s="50">
        <v>100</v>
      </c>
      <c r="P13" s="51">
        <f t="shared" si="3"/>
        <v>100</v>
      </c>
      <c r="Q13" s="50" t="s">
        <v>601</v>
      </c>
      <c r="R13" s="52" t="str">
        <f t="shared" si="4"/>
        <v/>
      </c>
      <c r="S13" s="93" t="str">
        <f>+VLOOKUP($D13,bd,MATCH(S$9,BD_metas!$A$5:$DB$5,0),0)</f>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
      <c r="T13" s="93" t="str">
        <f>+VLOOKUP($D13,bd,MATCH(T$9,BD_metas!$A$5:$DB$5,0),0)</f>
        <v>Emitir conceptos jurídicos  para dar respuesta a las solicitudes y  orientar a las dependencias de la Secretaría General en aras de que sus actuaciones sean acordes al ordenamiento jurídico.</v>
      </c>
      <c r="U13" s="93" t="str">
        <f>+VLOOKUP($D13,bd,MATCH(U$9,BD_metas!$A$5:$DB$5,0),0)</f>
        <v xml:space="preserve">Orientar a las diferentes dependencias con el fin de prevenir el daño antijuridico </v>
      </c>
      <c r="V13" s="94" t="str">
        <f>+VLOOKUP($D13,bd,MATCH(V$9,BD_metas!$A$5:$DB$5,0),0)</f>
        <v>Base de datos en excel</v>
      </c>
    </row>
    <row r="14" spans="1:22" ht="43.95" customHeight="1" x14ac:dyDescent="0.3">
      <c r="A14" s="92" t="e">
        <f t="shared" si="0"/>
        <v>#N/A</v>
      </c>
      <c r="B14" s="563"/>
      <c r="C14" s="432" t="str">
        <f t="shared" si="1"/>
        <v>Gestión Jurídica</v>
      </c>
      <c r="D14" s="432">
        <v>156</v>
      </c>
      <c r="E14" s="432" t="str">
        <f t="shared" si="2"/>
        <v>Revisar los proyectos de Actos Administrativos, a solicitud de las dependencias</v>
      </c>
      <c r="F14" s="566" t="str">
        <f t="shared" si="2"/>
        <v>Proyectos de Actos Administrativos, a solicitud de las dependencias, revisados</v>
      </c>
      <c r="G14" s="566"/>
      <c r="H14" s="432" t="str">
        <f t="shared" si="2"/>
        <v>Constante</v>
      </c>
      <c r="I14" s="432" t="str">
        <f t="shared" si="2"/>
        <v>Porcentaje</v>
      </c>
      <c r="J14" s="50">
        <v>100</v>
      </c>
      <c r="K14" s="50">
        <v>100</v>
      </c>
      <c r="L14" s="50">
        <v>100</v>
      </c>
      <c r="M14" s="50">
        <v>100</v>
      </c>
      <c r="N14" s="50">
        <v>100</v>
      </c>
      <c r="O14" s="50">
        <v>100</v>
      </c>
      <c r="P14" s="51">
        <f t="shared" si="3"/>
        <v>100</v>
      </c>
      <c r="Q14" s="50" t="s">
        <v>601</v>
      </c>
      <c r="R14" s="52" t="str">
        <f t="shared" si="4"/>
        <v/>
      </c>
      <c r="S14" s="93" t="str">
        <f>+VLOOKUP($D14,bd,MATCH(S$9,BD_metas!$A$5:$DB$5,0),0)</f>
        <v xml:space="preserve">El indicador pretende medir  la cantidad de Proyectos de Actos Administrativos revisados frente al número de solicitudes de revisión de Proyectos de  Actos Administrativos </v>
      </c>
      <c r="T14" s="93" t="str">
        <f>+VLOOKUP($D14,bd,MATCH(T$9,BD_metas!$A$5:$DB$5,0),0)</f>
        <v>Revisar los Proyectos de actos administrativos  de la Secretaría General, solicitados a la Oficina Asesora de Jurídica,  verificando que se ajusten al ordenamiento jurídico y a los propósitos de los mismos</v>
      </c>
      <c r="U14" s="93" t="str">
        <f>+VLOOKUP($D14,bd,MATCH(U$9,BD_metas!$A$5:$DB$5,0),0)</f>
        <v xml:space="preserve">Prestar apoyo juridico a todas las dependencias con el fin de prevenir el daño antijuridico </v>
      </c>
      <c r="V14" s="94" t="str">
        <f>+VLOOKUP($D14,bd,MATCH(V$9,BD_metas!$A$5:$DB$5,0),0)</f>
        <v>Base de datos en excel</v>
      </c>
    </row>
    <row r="15" spans="1:22" ht="43.95" customHeight="1" thickBot="1" x14ac:dyDescent="0.35">
      <c r="A15" s="92" t="e">
        <f t="shared" si="0"/>
        <v>#N/A</v>
      </c>
      <c r="B15" s="564"/>
      <c r="C15" s="433" t="str">
        <f t="shared" si="1"/>
        <v>Gestión Jurídica</v>
      </c>
      <c r="D15" s="433">
        <v>159</v>
      </c>
      <c r="E15" s="433" t="str">
        <f t="shared" si="2"/>
        <v xml:space="preserve">Realizar las actuaciones correspondientes, dentro de los  procesos judiciales y trámites extrajudiciales </v>
      </c>
      <c r="F15" s="567" t="str">
        <f t="shared" si="2"/>
        <v>Procesos judiciales y trámites extrajudiciales, con actuaciones correspondientes realizadas</v>
      </c>
      <c r="G15" s="567"/>
      <c r="H15" s="433" t="str">
        <f t="shared" si="2"/>
        <v>Constante</v>
      </c>
      <c r="I15" s="433" t="str">
        <f t="shared" si="2"/>
        <v>Porcentaje</v>
      </c>
      <c r="J15" s="53">
        <v>100</v>
      </c>
      <c r="K15" s="53">
        <v>100</v>
      </c>
      <c r="L15" s="53">
        <v>100</v>
      </c>
      <c r="M15" s="53">
        <v>100</v>
      </c>
      <c r="N15" s="53">
        <v>100</v>
      </c>
      <c r="O15" s="53">
        <v>100</v>
      </c>
      <c r="P15" s="54">
        <f t="shared" si="3"/>
        <v>100</v>
      </c>
      <c r="Q15" s="53" t="s">
        <v>601</v>
      </c>
      <c r="R15" s="55" t="str">
        <f t="shared" si="4"/>
        <v/>
      </c>
      <c r="S15" s="95" t="str">
        <f>+VLOOKUP($D15,bd,MATCH(S$9,BD_metas!$A$5:$DB$5,0),0)</f>
        <v>El indicador mide la cantidad de requerimientos, frente a los procesos judiciales y trámites extrajudiciales,  las cuales deben responderse dentro del término que otorga la ley para cada caso en especial.</v>
      </c>
      <c r="T15" s="95" t="str">
        <f>+VLOOKUP($D15,bd,MATCH(T$9,BD_metas!$A$5:$DB$5,0),0)</f>
        <v>Responder oportuna y eficazmente los requerimientos generados con ocasión del desarrollo de los procesos judiciales y trámites extrajudiciales en los que sea parte la Secretaría General.</v>
      </c>
      <c r="U15" s="95" t="str">
        <f>+VLOOKUP($D15,bd,MATCH(U$9,BD_metas!$A$5:$DB$5,0),0)</f>
        <v>Obtener resultados favorables para la entidad en los procesos judiciales y extrajudiciales y evitar el pago de condenas.</v>
      </c>
      <c r="V15" s="96" t="str">
        <f>+VLOOKUP($D15,bd,MATCH(V$9,BD_metas!$A$5:$DB$5,0),0)</f>
        <v>Base de datos en excel</v>
      </c>
    </row>
    <row r="16" spans="1:22" ht="43.95" customHeight="1" x14ac:dyDescent="0.3">
      <c r="A16" s="92" t="str">
        <f t="shared" si="0"/>
        <v>oci</v>
      </c>
      <c r="B16" s="562" t="s">
        <v>159</v>
      </c>
      <c r="C16" s="434" t="str">
        <f t="shared" si="1"/>
        <v>Evaluación del Sistema de Control Interno</v>
      </c>
      <c r="D16" s="434">
        <v>134</v>
      </c>
      <c r="E16" s="434" t="str">
        <f t="shared" si="2"/>
        <v xml:space="preserve">Ejecutar las Auditorias Internas de Calidad </v>
      </c>
      <c r="F16" s="565" t="str">
        <f t="shared" si="2"/>
        <v>Auditorias Internas de Calidad ejecutadas</v>
      </c>
      <c r="G16" s="565"/>
      <c r="H16" s="434" t="str">
        <f t="shared" si="2"/>
        <v>Constante</v>
      </c>
      <c r="I16" s="434" t="str">
        <f t="shared" si="2"/>
        <v>Porcentaje</v>
      </c>
      <c r="J16" s="126">
        <v>0</v>
      </c>
      <c r="K16" s="126">
        <v>0</v>
      </c>
      <c r="L16" s="126">
        <v>0</v>
      </c>
      <c r="M16" s="126">
        <v>0</v>
      </c>
      <c r="N16" s="126">
        <v>17</v>
      </c>
      <c r="O16" s="126">
        <v>5</v>
      </c>
      <c r="P16" s="170">
        <f t="shared" si="3"/>
        <v>100</v>
      </c>
      <c r="Q16" s="126" t="s">
        <v>638</v>
      </c>
      <c r="R16" s="171">
        <f t="shared" si="4"/>
        <v>22</v>
      </c>
      <c r="S16" s="172" t="str">
        <f>+VLOOKUP($D16,bd,MATCH(S$9,BD_metas!$A$5:$DB$5,0),0)</f>
        <v xml:space="preserve">Mide el grado de ejecución de las Auditorías Internas de calidad planificadas en la vigencia </v>
      </c>
      <c r="T16" s="172" t="str">
        <f>+VLOOKUP($D16,bd,MATCH(T$9,BD_metas!$A$5:$DB$5,0),0)</f>
        <v>1. Planificar la evaluación del SIG
2. Evaluar  integralmente los requisitos del SIG 
3. Presentar resultados de las auditorías realizadas.</v>
      </c>
      <c r="U16" s="172" t="str">
        <f>+VLOOKUP($D16,bd,MATCH(U$9,BD_metas!$A$5:$DB$5,0),0)</f>
        <v>1. Contribuye al mejoramiento de la calidad dirigido al usuario que requiere de los productos o servicio ofrecidos por la Entidad.
2. Promueve la mejora continua de los procesos de la organización
3. Tomar medidas frente a fallos existentes en los diferentes procesos.</v>
      </c>
      <c r="V16" s="174" t="str">
        <f>+VLOOKUP($D16,bd,MATCH(V$9,BD_metas!$A$5:$DB$5,0),0)</f>
        <v xml:space="preserve">Cronograma de Auditorias Internas de Calidad
Informes de Auditorias Interna de Calidad
Presentación de Resultados </v>
      </c>
    </row>
    <row r="17" spans="1:22" ht="61.5" customHeight="1" thickBot="1" x14ac:dyDescent="0.35">
      <c r="A17" s="92" t="e">
        <f t="shared" si="0"/>
        <v>#N/A</v>
      </c>
      <c r="B17" s="564"/>
      <c r="C17" s="433" t="str">
        <f t="shared" si="1"/>
        <v>Evaluación del Sistema de Control Interno</v>
      </c>
      <c r="D17" s="433" t="s">
        <v>345</v>
      </c>
      <c r="E17" s="433" t="str">
        <f t="shared" si="2"/>
        <v xml:space="preserve">Ejecutar el Plan Anual de Auditorías </v>
      </c>
      <c r="F17" s="567" t="str">
        <f t="shared" si="2"/>
        <v>Actividades de aseguramiento y reportes contenidas en el Plan Anual de auditorias, ejecutadas</v>
      </c>
      <c r="G17" s="567"/>
      <c r="H17" s="433" t="str">
        <f t="shared" si="2"/>
        <v>Constante</v>
      </c>
      <c r="I17" s="433" t="str">
        <f t="shared" si="2"/>
        <v>Porcentaje</v>
      </c>
      <c r="J17" s="53">
        <v>6</v>
      </c>
      <c r="K17" s="53">
        <v>8</v>
      </c>
      <c r="L17" s="53">
        <v>6</v>
      </c>
      <c r="M17" s="53">
        <v>11</v>
      </c>
      <c r="N17" s="53">
        <v>10</v>
      </c>
      <c r="O17" s="53">
        <v>4</v>
      </c>
      <c r="P17" s="54">
        <f t="shared" si="3"/>
        <v>100</v>
      </c>
      <c r="Q17" s="53" t="s">
        <v>638</v>
      </c>
      <c r="R17" s="55">
        <f t="shared" si="4"/>
        <v>45</v>
      </c>
      <c r="S17" s="95" t="str">
        <f>+VLOOKUP($D17,bd,MATCH(S$9,BD_metas!$A$5:$DB$5,0),0)</f>
        <v>El indicador mide el grado de avance en la ejecución de las evaluaciones y seguimientos del Plan Anual de Auditorías realizados en el periodo, con respecto a la programación de la vigencia.</v>
      </c>
      <c r="T17" s="95" t="str">
        <f>+VLOOKUP($D17,bd,MATCH(T$9,BD_metas!$A$5:$DB$5,0),0)</f>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
      <c r="U17" s="95" t="str">
        <f>+VLOOKUP($D17,bd,MATCH(U$9,BD_metas!$A$5:$DB$5,0),0)</f>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
      <c r="V17" s="96" t="str">
        <f>+VLOOKUP($D17,bd,MATCH(V$9,BD_metas!$A$5:$DB$5,0),0)</f>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
    </row>
    <row r="18" spans="1:22" ht="43.95" customHeight="1" x14ac:dyDescent="0.3">
      <c r="A18" s="92" t="str">
        <f t="shared" si="0"/>
        <v>ocd</v>
      </c>
      <c r="B18" s="562" t="s">
        <v>163</v>
      </c>
      <c r="C18" s="434" t="str">
        <f t="shared" si="1"/>
        <v>Control Disciplinario</v>
      </c>
      <c r="D18" s="434">
        <v>160</v>
      </c>
      <c r="E18" s="434" t="str">
        <f t="shared" si="2"/>
        <v>Emitir decisiones interlocutorias</v>
      </c>
      <c r="F18" s="565" t="str">
        <f t="shared" si="2"/>
        <v>Decisiones interlocutorias emitidas</v>
      </c>
      <c r="G18" s="565"/>
      <c r="H18" s="434" t="str">
        <f t="shared" si="2"/>
        <v>Suma</v>
      </c>
      <c r="I18" s="434" t="str">
        <f t="shared" si="2"/>
        <v>Número</v>
      </c>
      <c r="J18" s="126">
        <v>12</v>
      </c>
      <c r="K18" s="126">
        <v>8</v>
      </c>
      <c r="L18" s="126">
        <v>8</v>
      </c>
      <c r="M18" s="126">
        <v>8</v>
      </c>
      <c r="N18" s="126">
        <v>8</v>
      </c>
      <c r="O18" s="126">
        <v>8</v>
      </c>
      <c r="P18" s="170">
        <f t="shared" si="3"/>
        <v>52</v>
      </c>
      <c r="Q18" s="126" t="s">
        <v>638</v>
      </c>
      <c r="R18" s="171">
        <f t="shared" si="4"/>
        <v>52</v>
      </c>
      <c r="S18" s="172" t="str">
        <f>+VLOOKUP($D18,bd,MATCH(S$9,BD_metas!$A$5:$DB$5,0),0)</f>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
      <c r="T18" s="172" t="str">
        <f>+VLOOKUP($D18,bd,MATCH(T$9,BD_metas!$A$5:$DB$5,0),0)</f>
        <v>Acciones disciplinarias correspondientes</v>
      </c>
      <c r="U18" s="172" t="str">
        <f>+VLOOKUP($D18,bd,MATCH(U$9,BD_metas!$A$5:$DB$5,0),0)</f>
        <v>El beneficio de este indicador es que los funcionarios que tengan a cargo el expediente del proceso disciplinario avancen en las etapas respectivas del proceso.</v>
      </c>
      <c r="V18" s="174" t="str">
        <f>+VLOOKUP($D18,bd,MATCH(V$9,BD_metas!$A$5:$DB$5,0),0)</f>
        <v>Listado de autos proferidos en el periodo.</v>
      </c>
    </row>
    <row r="19" spans="1:22" ht="43.95" customHeight="1" thickBot="1" x14ac:dyDescent="0.35">
      <c r="A19" s="92" t="e">
        <f t="shared" si="0"/>
        <v>#N/A</v>
      </c>
      <c r="B19" s="564"/>
      <c r="C19" s="433" t="str">
        <f t="shared" si="1"/>
        <v>Control Disciplinario</v>
      </c>
      <c r="D19" s="433" t="s">
        <v>346</v>
      </c>
      <c r="E19" s="433" t="str">
        <f t="shared" si="2"/>
        <v>Emitir decisiones disciplinarias, tomadas en los procesos próximos a vencer por términos</v>
      </c>
      <c r="F19" s="567" t="str">
        <f t="shared" si="2"/>
        <v>Expedientes gestionados dentro del término legal</v>
      </c>
      <c r="G19" s="567"/>
      <c r="H19" s="433" t="str">
        <f t="shared" si="2"/>
        <v>Constante</v>
      </c>
      <c r="I19" s="433" t="str">
        <f t="shared" si="2"/>
        <v>Porcentaje</v>
      </c>
      <c r="J19" s="53">
        <v>100</v>
      </c>
      <c r="K19" s="53">
        <v>100</v>
      </c>
      <c r="L19" s="53">
        <v>100</v>
      </c>
      <c r="M19" s="53">
        <v>100</v>
      </c>
      <c r="N19" s="53">
        <v>100</v>
      </c>
      <c r="O19" s="53">
        <v>100</v>
      </c>
      <c r="P19" s="54">
        <f t="shared" si="3"/>
        <v>100</v>
      </c>
      <c r="Q19" s="53" t="s">
        <v>601</v>
      </c>
      <c r="R19" s="55" t="str">
        <f t="shared" si="4"/>
        <v/>
      </c>
      <c r="S19" s="95" t="str">
        <f>+VLOOKUP($D19,bd,MATCH(S$9,BD_metas!$A$5:$DB$5,0),0)</f>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
      <c r="T19" s="95">
        <f>+VLOOKUP($D19,bd,MATCH(T$9,BD_metas!$A$5:$DB$5,0),0)</f>
        <v>0</v>
      </c>
      <c r="U19" s="95" t="str">
        <f>+VLOOKUP($D19,bd,MATCH(U$9,BD_metas!$A$5:$DB$5,0),0)</f>
        <v>Mantener el proceso dentro de los términos legales establecidos, lo cual redunda en garantía de derechos para el investigado.</v>
      </c>
      <c r="V19" s="96" t="str">
        <f>+VLOOKUP($D19,bd,MATCH(V$9,BD_metas!$A$5:$DB$5,0),0)</f>
        <v>Listado de expedientes.</v>
      </c>
    </row>
    <row r="20" spans="1:22" ht="43.95" hidden="1" customHeight="1" thickBot="1" x14ac:dyDescent="0.35">
      <c r="A20" s="92" t="str">
        <f t="shared" si="0"/>
        <v>pro</v>
      </c>
      <c r="B20" s="440" t="s">
        <v>167</v>
      </c>
      <c r="C20" s="437" t="str">
        <f t="shared" si="1"/>
        <v>No Aplica</v>
      </c>
      <c r="D20" s="437">
        <v>161</v>
      </c>
      <c r="E20" s="437" t="str">
        <f t="shared" si="2"/>
        <v>Superar el nivel de satisfacción de los servicios protocolarios prestados</v>
      </c>
      <c r="F20" s="596" t="str">
        <f t="shared" si="2"/>
        <v>[ELIMINADO] Nivel de satisfacción de los servicios protocolarios prestados</v>
      </c>
      <c r="G20" s="596"/>
      <c r="H20" s="437" t="str">
        <f t="shared" si="2"/>
        <v>Constante</v>
      </c>
      <c r="I20" s="437" t="str">
        <f t="shared" si="2"/>
        <v>Porcentaje</v>
      </c>
      <c r="J20" s="175"/>
      <c r="K20" s="175"/>
      <c r="L20" s="175"/>
      <c r="M20" s="175"/>
      <c r="N20" s="175"/>
      <c r="O20" s="175"/>
      <c r="P20" s="176">
        <f t="shared" si="3"/>
        <v>0</v>
      </c>
      <c r="Q20" s="175" t="s">
        <v>601</v>
      </c>
      <c r="R20" s="177" t="str">
        <f t="shared" si="4"/>
        <v/>
      </c>
      <c r="S20" s="178" t="str">
        <f>+VLOOKUP($D20,bd,MATCH(S$9,BD_metas!$A$5:$DB$5,0),0)</f>
        <v>El indicador evalúa la satisfacción respecto a las actividades  relacionadas con los servicios protocolarios, surgidos en el marco de la gestión pública del Alcalde Mayor y las entidades referentes.</v>
      </c>
      <c r="T20" s="178">
        <f>+VLOOKUP($D20,bd,MATCH(T$9,BD_metas!$A$5:$DB$5,0),0)</f>
        <v>0</v>
      </c>
      <c r="U20" s="178" t="str">
        <f>+VLOOKUP($D20,bd,MATCH(U$9,BD_metas!$A$5:$DB$5,0),0)</f>
        <v>Identificar los potenciales riesgos que se puedan presentar y que afecten la satisfacción de los usuarios de los servicios protocolarios</v>
      </c>
      <c r="V20" s="179" t="str">
        <f>+VLOOKUP($D20,bd,MATCH(V$9,BD_metas!$A$5:$DB$5,0),0)</f>
        <v>Resultados de las encuestas de satisfacción aplicadas</v>
      </c>
    </row>
    <row r="21" spans="1:22" ht="54.75" customHeight="1" x14ac:dyDescent="0.3">
      <c r="A21" s="92" t="str">
        <f t="shared" si="0"/>
        <v>oti</v>
      </c>
      <c r="B21" s="562" t="s">
        <v>39</v>
      </c>
      <c r="C21" s="434" t="str">
        <f t="shared" si="1"/>
        <v>Estrategia de Tecnologías de la Información y las Comunicaciones</v>
      </c>
      <c r="D21" s="434">
        <v>138</v>
      </c>
      <c r="E21" s="434" t="str">
        <f t="shared" si="2"/>
        <v xml:space="preserve">Mantener disponibles y en operación los sistemas de información de la Secretaría General </v>
      </c>
      <c r="F21" s="565" t="str">
        <f t="shared" si="2"/>
        <v xml:space="preserve">Porcentaje de disponibilidad y operación de los sistemas de información de la Secretaría General </v>
      </c>
      <c r="G21" s="565"/>
      <c r="H21" s="434" t="str">
        <f t="shared" si="2"/>
        <v>Constante</v>
      </c>
      <c r="I21" s="434" t="str">
        <f t="shared" si="2"/>
        <v>Porcentaje</v>
      </c>
      <c r="J21" s="126">
        <v>96</v>
      </c>
      <c r="K21" s="126">
        <v>96</v>
      </c>
      <c r="L21" s="126">
        <v>96</v>
      </c>
      <c r="M21" s="126">
        <v>96</v>
      </c>
      <c r="N21" s="126">
        <v>96</v>
      </c>
      <c r="O21" s="126">
        <v>96</v>
      </c>
      <c r="P21" s="170">
        <f t="shared" si="3"/>
        <v>96</v>
      </c>
      <c r="Q21" s="126" t="s">
        <v>601</v>
      </c>
      <c r="R21" s="171" t="str">
        <f t="shared" si="4"/>
        <v/>
      </c>
      <c r="S21" s="172" t="str">
        <f>+VLOOKUP($D21,bd,MATCH(S$9,BD_metas!$A$5:$DB$5,0),0)</f>
        <v>Mide  la disponibilidad de Sistemas de Información y Sitios web en producción de la entidad, para que los usuarios los puedan operar y/o consultar, mediante el monitoreo de Bases de datos, Sistemas de información y de la Infraestructura Tecnológica.</v>
      </c>
      <c r="T21" s="172" t="str">
        <f>+VLOOKUP($D21,bd,MATCH(T$9,BD_metas!$A$5:$DB$5,0),0)</f>
        <v>• Realizar Monitoreo a: 
- Base de Datos
- Sistemas de Información
- Infraestructura Tecnológica</v>
      </c>
      <c r="U21" s="172" t="str">
        <f>+VLOOKUP($D21,bd,MATCH(U$9,BD_metas!$A$5:$DB$5,0),0)</f>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
      <c r="V21" s="174" t="str">
        <f>+VLOOKUP($D21,bd,MATCH(V$9,BD_metas!$A$5:$DB$5,0),0)</f>
        <v>Reporte Informe de Sistema Adplatec
Correos enviados desde el Aplicativo Nagios
Consulta de Aplicativo GLPI sobre categoria Sistemas de Información</v>
      </c>
    </row>
    <row r="22" spans="1:22" ht="55.65" customHeight="1" thickBot="1" x14ac:dyDescent="0.35">
      <c r="A22" s="92" t="e">
        <f t="shared" si="0"/>
        <v>#N/A</v>
      </c>
      <c r="B22" s="564"/>
      <c r="C22" s="433" t="str">
        <f t="shared" si="1"/>
        <v>Gestión, administración y soporte de infraestructura y recursos tecnológicos</v>
      </c>
      <c r="D22" s="433">
        <v>145</v>
      </c>
      <c r="E22" s="433" t="str">
        <f t="shared" si="2"/>
        <v>Solucionar los incidentes o solicitudes de servicios informáticos en el tiempo establecido como política.</v>
      </c>
      <c r="F22" s="567" t="str">
        <f t="shared" si="2"/>
        <v>Incidentes o solicitudes de servicios informáticos solucionadas en el tiempo establecido como política.</v>
      </c>
      <c r="G22" s="567"/>
      <c r="H22" s="433" t="str">
        <f t="shared" si="2"/>
        <v>Constante</v>
      </c>
      <c r="I22" s="433" t="str">
        <f t="shared" si="2"/>
        <v>Porcentaje</v>
      </c>
      <c r="J22" s="53">
        <v>94</v>
      </c>
      <c r="K22" s="53">
        <v>94</v>
      </c>
      <c r="L22" s="53">
        <v>94</v>
      </c>
      <c r="M22" s="53">
        <v>94</v>
      </c>
      <c r="N22" s="53">
        <v>94</v>
      </c>
      <c r="O22" s="53">
        <v>94</v>
      </c>
      <c r="P22" s="54">
        <f t="shared" si="3"/>
        <v>94</v>
      </c>
      <c r="Q22" s="53" t="s">
        <v>601</v>
      </c>
      <c r="R22" s="55" t="str">
        <f t="shared" si="4"/>
        <v/>
      </c>
      <c r="S22" s="95" t="str">
        <f>+VLOOKUP($D22,bd,MATCH(S$9,BD_metas!$A$5:$DB$5,0),0)</f>
        <v>Mantener el porcentaje de 94% de incidentes o servicios informáticos solucionados  en el tiempo establecido como política o SLAs</v>
      </c>
      <c r="T22" s="95" t="str">
        <f>+VLOOKUP($D22,bd,MATCH(T$9,BD_metas!$A$5:$DB$5,0),0)</f>
        <v>• Solucionar las solicitudes de carácter técnica registradas en la Herramienta GLPI</v>
      </c>
      <c r="U22" s="95" t="str">
        <f>+VLOOKUP($D22,bd,MATCH(U$9,BD_metas!$A$5:$DB$5,0),0)</f>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
      <c r="V22" s="96" t="str">
        <f>+VLOOKUP($D22,bd,MATCH(V$9,BD_metas!$A$5:$DB$5,0),0)</f>
        <v>Reporte y/o consulta del Aplicativo GLPI</v>
      </c>
    </row>
    <row r="23" spans="1:22" ht="15" thickBot="1" x14ac:dyDescent="0.35"/>
    <row r="24" spans="1:22" ht="18" x14ac:dyDescent="0.35">
      <c r="B24" s="568" t="s">
        <v>2017</v>
      </c>
      <c r="C24" s="595"/>
      <c r="D24" s="569"/>
    </row>
    <row r="25" spans="1:22" ht="15" thickBot="1" x14ac:dyDescent="0.35">
      <c r="B25" s="570" t="s">
        <v>2018</v>
      </c>
      <c r="C25" s="605"/>
      <c r="D25" s="571"/>
      <c r="J25" s="574" t="s">
        <v>2019</v>
      </c>
      <c r="K25" s="575"/>
      <c r="L25" s="575"/>
      <c r="M25" s="575"/>
      <c r="N25" s="575"/>
      <c r="O25" s="575"/>
    </row>
    <row r="26" spans="1:22" ht="29.4" customHeight="1" thickBot="1" x14ac:dyDescent="0.35">
      <c r="B26" s="58" t="s">
        <v>1868</v>
      </c>
      <c r="C26" s="181" t="s">
        <v>2073</v>
      </c>
      <c r="D26" s="59" t="s">
        <v>2010</v>
      </c>
      <c r="E26" s="59" t="s">
        <v>1792</v>
      </c>
      <c r="F26" s="59" t="s">
        <v>2020</v>
      </c>
      <c r="G26" s="59" t="s">
        <v>2021</v>
      </c>
      <c r="H26" s="59" t="s">
        <v>2022</v>
      </c>
      <c r="I26" s="59" t="s">
        <v>2023</v>
      </c>
      <c r="J26" s="60" t="s">
        <v>391</v>
      </c>
      <c r="K26" s="60" t="s">
        <v>392</v>
      </c>
      <c r="L26" s="60" t="s">
        <v>393</v>
      </c>
      <c r="M26" s="60" t="s">
        <v>394</v>
      </c>
      <c r="N26" s="61" t="s">
        <v>395</v>
      </c>
      <c r="O26" s="61" t="s">
        <v>396</v>
      </c>
    </row>
    <row r="27" spans="1:22" ht="44.4" hidden="1" customHeight="1" x14ac:dyDescent="0.3">
      <c r="B27" s="576" t="str">
        <f>+VLOOKUP(D27,bd,MATCH("Área o dependencia",bdfila,0),0)</f>
        <v>Oficina Asesora de Planeación</v>
      </c>
      <c r="C27" s="611" t="str">
        <f>+VLOOKUP(D27,bd,MATCH("PROCESO: ",bdfila,0),0)</f>
        <v>Direccionamiento estratégico</v>
      </c>
      <c r="D27" s="442" t="str">
        <f>+D10</f>
        <v>150 (SS)</v>
      </c>
      <c r="E27" s="604" t="str">
        <f>+VLOOKUP($D27,bd,MATCH(E$9,bdfila,0),0)</f>
        <v>Elaborar el Anteproyecto de Presupuesto Secretaria General</v>
      </c>
      <c r="F27" s="63" t="str">
        <f>D27&amp;"_V1"</f>
        <v>150 (SS)_V1</v>
      </c>
      <c r="G27" s="64" t="str">
        <f>+VLOOKUP(D27,bd,MATCH(I27,BD_metas!$A$5:$DB$5,0),0)</f>
        <v xml:space="preserve">Número de Libros Anteproyecto de Presupuesto Vigencia 2020     </v>
      </c>
      <c r="H27" s="65" t="s">
        <v>2030</v>
      </c>
      <c r="I27" s="65" t="s">
        <v>1029</v>
      </c>
      <c r="J27" s="103"/>
      <c r="K27" s="103"/>
      <c r="L27" s="103"/>
      <c r="M27" s="66"/>
      <c r="N27" s="66"/>
      <c r="O27" s="67"/>
    </row>
    <row r="28" spans="1:22" hidden="1" x14ac:dyDescent="0.3">
      <c r="B28" s="563"/>
      <c r="C28" s="612"/>
      <c r="D28" s="183" t="str">
        <f>+D27</f>
        <v>150 (SS)</v>
      </c>
      <c r="E28" s="593"/>
      <c r="F28" s="69" t="str">
        <f>D28&amp;"_V2"</f>
        <v>150 (SS)_V2</v>
      </c>
      <c r="G28" s="70" t="str">
        <f>+VLOOKUP(D28,bd,MATCH(I28,BD_metas!$A$5:$DB$5,0),0)</f>
        <v>N/A</v>
      </c>
      <c r="H28" s="56" t="s">
        <v>2030</v>
      </c>
      <c r="I28" s="56" t="s">
        <v>1030</v>
      </c>
      <c r="J28" s="104"/>
      <c r="K28" s="104"/>
      <c r="L28" s="104"/>
      <c r="M28" s="50"/>
      <c r="N28" s="50"/>
      <c r="O28" s="71"/>
    </row>
    <row r="29" spans="1:22" ht="27.6" hidden="1" x14ac:dyDescent="0.3">
      <c r="B29" s="563"/>
      <c r="C29" s="612"/>
      <c r="D29" s="183" t="str">
        <f>+D28</f>
        <v>150 (SS)</v>
      </c>
      <c r="E29" s="593"/>
      <c r="F29" s="69" t="str">
        <f>D28&amp;"_I1"</f>
        <v>150 (SS)_I1</v>
      </c>
      <c r="G29" s="70" t="s">
        <v>1823</v>
      </c>
      <c r="H29" s="56" t="s">
        <v>2031</v>
      </c>
      <c r="I29" s="56" t="s">
        <v>2032</v>
      </c>
      <c r="J29" s="105"/>
      <c r="K29" s="106"/>
      <c r="L29" s="104"/>
      <c r="M29" s="50"/>
      <c r="N29" s="50"/>
      <c r="O29" s="71"/>
    </row>
    <row r="30" spans="1:22" ht="41.4" hidden="1" x14ac:dyDescent="0.3">
      <c r="B30" s="563"/>
      <c r="C30" s="612"/>
      <c r="D30" s="183" t="str">
        <f>+D29</f>
        <v>150 (SS)</v>
      </c>
      <c r="E30" s="593"/>
      <c r="F30" s="69" t="str">
        <f>D30&amp;"_I2"</f>
        <v>150 (SS)_I2</v>
      </c>
      <c r="G30" s="70" t="s">
        <v>1824</v>
      </c>
      <c r="H30" s="56" t="s">
        <v>2031</v>
      </c>
      <c r="I30" s="56" t="s">
        <v>2038</v>
      </c>
      <c r="J30" s="105"/>
      <c r="K30" s="105"/>
      <c r="L30" s="104"/>
      <c r="M30" s="50"/>
      <c r="N30" s="50"/>
      <c r="O30" s="71"/>
    </row>
    <row r="31" spans="1:22" ht="42" hidden="1" thickBot="1" x14ac:dyDescent="0.35">
      <c r="B31" s="564"/>
      <c r="C31" s="613"/>
      <c r="D31" s="184" t="str">
        <f>+D30</f>
        <v>150 (SS)</v>
      </c>
      <c r="E31" s="594"/>
      <c r="F31" s="73" t="str">
        <f>D31&amp;"_I3"</f>
        <v>150 (SS)_I3</v>
      </c>
      <c r="G31" s="74" t="s">
        <v>1825</v>
      </c>
      <c r="H31" s="57" t="s">
        <v>2031</v>
      </c>
      <c r="I31" s="57" t="s">
        <v>2042</v>
      </c>
      <c r="J31" s="182"/>
      <c r="K31" s="182"/>
      <c r="L31" s="107"/>
      <c r="M31" s="53"/>
      <c r="N31" s="53"/>
      <c r="O31" s="75"/>
    </row>
    <row r="32" spans="1:22" ht="27.6" x14ac:dyDescent="0.3">
      <c r="B32" s="576" t="str">
        <f>+VLOOKUP(D32,bd,MATCH("Área o dependencia",bdfila,0),0)</f>
        <v>Oficina Asesora de Planeación</v>
      </c>
      <c r="C32" s="611" t="str">
        <f>+VLOOKUP(D32,bd,MATCH("PROCESO: ",bdfila,0),0)</f>
        <v>Direccionamiento estratégico</v>
      </c>
      <c r="D32" s="442" t="str">
        <f>+D11</f>
        <v>152D</v>
      </c>
      <c r="E32" s="604" t="str">
        <f>+VLOOKUP($D32,bd,MATCH(E$9,bdfila,0),0)</f>
        <v xml:space="preserve">Realizar el monitoreo a la ejecución del Plan Anticorrupción y de Atención al Ciudadano - PAAC </v>
      </c>
      <c r="F32" s="63" t="str">
        <f>D32&amp;"_V1"</f>
        <v>152D_V1</v>
      </c>
      <c r="G32" s="64" t="str">
        <f>+VLOOKUP(D32,bd,MATCH(I32,BD_metas!$A$5:$DB$5,0),0)</f>
        <v>Actividades de monitoreo ejecutadas en el trimestre</v>
      </c>
      <c r="H32" s="65" t="s">
        <v>2030</v>
      </c>
      <c r="I32" s="65" t="s">
        <v>1029</v>
      </c>
      <c r="J32" s="103">
        <v>0</v>
      </c>
      <c r="K32" s="103">
        <v>0</v>
      </c>
      <c r="L32" s="103">
        <v>0</v>
      </c>
      <c r="M32" s="66">
        <v>0</v>
      </c>
      <c r="N32" s="66">
        <v>1</v>
      </c>
      <c r="O32" s="67"/>
    </row>
    <row r="33" spans="2:15" ht="27.6" x14ac:dyDescent="0.3">
      <c r="B33" s="563"/>
      <c r="C33" s="612"/>
      <c r="D33" s="183" t="str">
        <f>+D32</f>
        <v>152D</v>
      </c>
      <c r="E33" s="593"/>
      <c r="F33" s="69" t="str">
        <f>D33&amp;"_V2"</f>
        <v>152D_V2</v>
      </c>
      <c r="G33" s="70" t="str">
        <f>+VLOOKUP(D33,bd,MATCH(I33,BD_metas!$A$5:$DB$5,0),0)</f>
        <v>Actividades de monitoreo programadas en el trimestre</v>
      </c>
      <c r="H33" s="56" t="s">
        <v>2030</v>
      </c>
      <c r="I33" s="56" t="s">
        <v>1030</v>
      </c>
      <c r="J33" s="104">
        <v>0</v>
      </c>
      <c r="K33" s="104">
        <v>0</v>
      </c>
      <c r="L33" s="104">
        <v>0</v>
      </c>
      <c r="M33" s="50">
        <v>0</v>
      </c>
      <c r="N33" s="50">
        <v>1</v>
      </c>
      <c r="O33" s="71"/>
    </row>
    <row r="34" spans="2:15" ht="54.75" customHeight="1" x14ac:dyDescent="0.3">
      <c r="B34" s="563"/>
      <c r="C34" s="612"/>
      <c r="D34" s="183" t="str">
        <f>+D33</f>
        <v>152D</v>
      </c>
      <c r="E34" s="593"/>
      <c r="F34" s="69" t="str">
        <f>D33&amp;"_I1"</f>
        <v>152D_I1</v>
      </c>
      <c r="G34" s="70" t="s">
        <v>1823</v>
      </c>
      <c r="H34" s="56" t="s">
        <v>2031</v>
      </c>
      <c r="I34" s="56" t="s">
        <v>2032</v>
      </c>
      <c r="J34" s="108" t="s">
        <v>2076</v>
      </c>
      <c r="K34" s="108" t="s">
        <v>2076</v>
      </c>
      <c r="L34" s="108" t="s">
        <v>2076</v>
      </c>
      <c r="M34" s="108" t="s">
        <v>2076</v>
      </c>
      <c r="N34" s="108" t="s">
        <v>2077</v>
      </c>
      <c r="O34" s="71"/>
    </row>
    <row r="35" spans="2:15" ht="54.75" customHeight="1" x14ac:dyDescent="0.3">
      <c r="B35" s="563"/>
      <c r="C35" s="612"/>
      <c r="D35" s="183" t="str">
        <f>+D34</f>
        <v>152D</v>
      </c>
      <c r="E35" s="593"/>
      <c r="F35" s="69" t="str">
        <f>D35&amp;"_I2"</f>
        <v>152D_I2</v>
      </c>
      <c r="G35" s="70" t="s">
        <v>1824</v>
      </c>
      <c r="H35" s="56" t="s">
        <v>2031</v>
      </c>
      <c r="I35" s="56" t="s">
        <v>2038</v>
      </c>
      <c r="J35" s="108" t="s">
        <v>2076</v>
      </c>
      <c r="K35" s="108" t="s">
        <v>2076</v>
      </c>
      <c r="L35" s="108" t="s">
        <v>2076</v>
      </c>
      <c r="M35" s="108" t="s">
        <v>2076</v>
      </c>
      <c r="N35" s="108" t="s">
        <v>2078</v>
      </c>
      <c r="O35" s="71"/>
    </row>
    <row r="36" spans="2:15" ht="54.75" customHeight="1" thickBot="1" x14ac:dyDescent="0.35">
      <c r="B36" s="564"/>
      <c r="C36" s="613"/>
      <c r="D36" s="184" t="str">
        <f>+D35</f>
        <v>152D</v>
      </c>
      <c r="E36" s="594"/>
      <c r="F36" s="73" t="str">
        <f>D36&amp;"_I3"</f>
        <v>152D_I3</v>
      </c>
      <c r="G36" s="74" t="s">
        <v>1825</v>
      </c>
      <c r="H36" s="57" t="s">
        <v>2031</v>
      </c>
      <c r="I36" s="57" t="s">
        <v>2042</v>
      </c>
      <c r="J36" s="112" t="s">
        <v>2076</v>
      </c>
      <c r="K36" s="112" t="s">
        <v>2076</v>
      </c>
      <c r="L36" s="112" t="s">
        <v>2076</v>
      </c>
      <c r="M36" s="112" t="s">
        <v>2076</v>
      </c>
      <c r="N36" s="112" t="s">
        <v>2079</v>
      </c>
      <c r="O36" s="75"/>
    </row>
    <row r="37" spans="2:15" ht="54" customHeight="1" x14ac:dyDescent="0.3">
      <c r="B37" s="562" t="str">
        <f>+VLOOKUP(D37,bd,MATCH("Área o dependencia",bdfila,0),0)</f>
        <v>Oficina Asesora de Jurídica</v>
      </c>
      <c r="C37" s="614" t="str">
        <f>+VLOOKUP(D37,bd,MATCH("PROCESO: ",bdfila,0),0)</f>
        <v>Gestión Jurídica</v>
      </c>
      <c r="D37" s="443">
        <f>+D12</f>
        <v>153</v>
      </c>
      <c r="E37" s="592" t="str">
        <f>+VLOOKUP($D37,bd,MATCH(E$9,bdfila,0),0)</f>
        <v>Realizar el análisis jurídico de anteproyectos, proyectos de acuerdo y proyectos de ley solicitados a la Oficina Asesora de Jurídica</v>
      </c>
      <c r="F37" s="77" t="str">
        <f>D37&amp;"_V1"</f>
        <v>153_V1</v>
      </c>
      <c r="G37" s="124" t="str">
        <f>+VLOOKUP(D37,bd,MATCH(I37,BD_metas!$A$5:$DB$5,0),0)</f>
        <v>Cantidad de Anteproyectos, Proyectos de Acuerdo y Proyectos de Ley, con análisis emitido</v>
      </c>
      <c r="H37" s="78" t="s">
        <v>2030</v>
      </c>
      <c r="I37" s="78" t="s">
        <v>1029</v>
      </c>
      <c r="J37" s="125">
        <v>8</v>
      </c>
      <c r="K37" s="125">
        <v>10</v>
      </c>
      <c r="L37" s="125">
        <v>7</v>
      </c>
      <c r="M37" s="126">
        <v>3</v>
      </c>
      <c r="N37" s="126">
        <v>2</v>
      </c>
      <c r="O37" s="128">
        <v>3</v>
      </c>
    </row>
    <row r="38" spans="2:15" ht="56.25" customHeight="1" x14ac:dyDescent="0.3">
      <c r="B38" s="563"/>
      <c r="C38" s="612"/>
      <c r="D38" s="183">
        <f>+D37</f>
        <v>153</v>
      </c>
      <c r="E38" s="593"/>
      <c r="F38" s="69" t="str">
        <f>D38&amp;"_V2"</f>
        <v>153_V2</v>
      </c>
      <c r="G38" s="70" t="str">
        <f>+VLOOKUP(D38,bd,MATCH(I38,BD_metas!$A$5:$DB$5,0),0)</f>
        <v>(Cantidad de Anteproyectos, Proyectos de Acuerdo y Proyectos de ley solicitados - Cantidad de Anteproyectos, Proyectos de Acuerdo y Proyectos de Ley en termino, pendientes por resolver)</v>
      </c>
      <c r="H38" s="56" t="s">
        <v>2030</v>
      </c>
      <c r="I38" s="56" t="s">
        <v>1030</v>
      </c>
      <c r="J38" s="104">
        <v>8</v>
      </c>
      <c r="K38" s="104">
        <v>10</v>
      </c>
      <c r="L38" s="104">
        <v>7</v>
      </c>
      <c r="M38" s="50">
        <v>3</v>
      </c>
      <c r="N38" s="50">
        <v>2</v>
      </c>
      <c r="O38" s="71">
        <v>3</v>
      </c>
    </row>
    <row r="39" spans="2:15" ht="35.25" customHeight="1" x14ac:dyDescent="0.3">
      <c r="B39" s="563"/>
      <c r="C39" s="612"/>
      <c r="D39" s="183">
        <f>+D38</f>
        <v>153</v>
      </c>
      <c r="E39" s="593"/>
      <c r="F39" s="69" t="str">
        <f>D38&amp;"_I1"</f>
        <v>153_I1</v>
      </c>
      <c r="G39" s="70" t="s">
        <v>1823</v>
      </c>
      <c r="H39" s="56" t="s">
        <v>2031</v>
      </c>
      <c r="I39" s="56" t="s">
        <v>2032</v>
      </c>
      <c r="J39" s="108" t="s">
        <v>2080</v>
      </c>
      <c r="K39" s="108" t="s">
        <v>2081</v>
      </c>
      <c r="L39" s="108" t="s">
        <v>2082</v>
      </c>
      <c r="M39" s="108" t="s">
        <v>2083</v>
      </c>
      <c r="N39" s="108" t="s">
        <v>2084</v>
      </c>
      <c r="O39" s="108" t="s">
        <v>2085</v>
      </c>
    </row>
    <row r="40" spans="2:15" ht="35.25" customHeight="1" x14ac:dyDescent="0.3">
      <c r="B40" s="563"/>
      <c r="C40" s="612"/>
      <c r="D40" s="183">
        <f>+D39</f>
        <v>153</v>
      </c>
      <c r="E40" s="593"/>
      <c r="F40" s="69" t="str">
        <f>D40&amp;"_I2"</f>
        <v>153_I2</v>
      </c>
      <c r="G40" s="70" t="s">
        <v>1824</v>
      </c>
      <c r="H40" s="56" t="s">
        <v>2031</v>
      </c>
      <c r="I40" s="56" t="s">
        <v>2038</v>
      </c>
      <c r="J40" s="108" t="s">
        <v>2086</v>
      </c>
      <c r="K40" s="108" t="s">
        <v>2086</v>
      </c>
      <c r="L40" s="108" t="s">
        <v>2086</v>
      </c>
      <c r="M40" s="108" t="s">
        <v>2086</v>
      </c>
      <c r="N40" s="108" t="s">
        <v>2086</v>
      </c>
      <c r="O40" s="108" t="s">
        <v>2087</v>
      </c>
    </row>
    <row r="41" spans="2:15" ht="35.25" customHeight="1" thickBot="1" x14ac:dyDescent="0.35">
      <c r="B41" s="564"/>
      <c r="C41" s="613"/>
      <c r="D41" s="184">
        <f>+D40</f>
        <v>153</v>
      </c>
      <c r="E41" s="594"/>
      <c r="F41" s="73" t="str">
        <f>D41&amp;"_I3"</f>
        <v>153_I3</v>
      </c>
      <c r="G41" s="74" t="s">
        <v>1825</v>
      </c>
      <c r="H41" s="57" t="s">
        <v>2031</v>
      </c>
      <c r="I41" s="57" t="s">
        <v>2042</v>
      </c>
      <c r="J41" s="112" t="s">
        <v>2088</v>
      </c>
      <c r="K41" s="112" t="s">
        <v>2088</v>
      </c>
      <c r="L41" s="112" t="s">
        <v>2088</v>
      </c>
      <c r="M41" s="112" t="s">
        <v>2088</v>
      </c>
      <c r="N41" s="112" t="s">
        <v>2088</v>
      </c>
      <c r="O41" s="108" t="s">
        <v>2089</v>
      </c>
    </row>
    <row r="42" spans="2:15" ht="27.6" x14ac:dyDescent="0.3">
      <c r="B42" s="562" t="str">
        <f>+VLOOKUP(D42,bd,MATCH("Área o dependencia",bdfila,0),0)</f>
        <v>Oficina Asesora de Jurídica</v>
      </c>
      <c r="C42" s="614" t="str">
        <f>+VLOOKUP(D42,bd,MATCH("PROCESO: ",bdfila,0),0)</f>
        <v>Gestión Jurídica</v>
      </c>
      <c r="D42" s="443">
        <f>+D13</f>
        <v>154</v>
      </c>
      <c r="E42" s="592" t="str">
        <f>+VLOOKUP($D42,bd,MATCH(E$9,bdfila,0),0)</f>
        <v>Emitir oportunamente los conceptos jurídicos solicitados</v>
      </c>
      <c r="F42" s="77" t="str">
        <f>D42&amp;"_V1"</f>
        <v>154_V1</v>
      </c>
      <c r="G42" s="124" t="str">
        <f>+VLOOKUP(D42,bd,MATCH(I42,BD_metas!$A$5:$DB$5,0),0)</f>
        <v>Cantidad de conceptos jurídicos emitidos oportunamente</v>
      </c>
      <c r="H42" s="78" t="s">
        <v>2030</v>
      </c>
      <c r="I42" s="78" t="s">
        <v>1029</v>
      </c>
      <c r="J42" s="125">
        <v>0</v>
      </c>
      <c r="K42" s="125">
        <v>3</v>
      </c>
      <c r="L42" s="125">
        <v>4</v>
      </c>
      <c r="M42" s="126">
        <v>1</v>
      </c>
      <c r="N42" s="126">
        <v>1</v>
      </c>
      <c r="O42" s="128">
        <v>2</v>
      </c>
    </row>
    <row r="43" spans="2:15" ht="25.5" customHeight="1" x14ac:dyDescent="0.3">
      <c r="B43" s="563"/>
      <c r="C43" s="612"/>
      <c r="D43" s="183">
        <f>+D42</f>
        <v>154</v>
      </c>
      <c r="E43" s="593"/>
      <c r="F43" s="69" t="str">
        <f>D43&amp;"_V2"</f>
        <v>154_V2</v>
      </c>
      <c r="G43" s="70" t="str">
        <f>+VLOOKUP(D43,bd,MATCH(I43,BD_metas!$A$5:$DB$5,0),0)</f>
        <v>(Cantidad de conceptos jurídicos solicitados - Cantidad de conceptos jurídicos en termino, pendientes por resolver)</v>
      </c>
      <c r="H43" s="56" t="s">
        <v>2030</v>
      </c>
      <c r="I43" s="56" t="s">
        <v>1030</v>
      </c>
      <c r="J43" s="104">
        <v>0</v>
      </c>
      <c r="K43" s="104">
        <v>3</v>
      </c>
      <c r="L43" s="104">
        <v>4</v>
      </c>
      <c r="M43" s="50">
        <v>1</v>
      </c>
      <c r="N43" s="50">
        <v>1</v>
      </c>
      <c r="O43" s="71">
        <v>2</v>
      </c>
    </row>
    <row r="44" spans="2:15" ht="51.75" customHeight="1" x14ac:dyDescent="0.3">
      <c r="B44" s="563"/>
      <c r="C44" s="612"/>
      <c r="D44" s="183">
        <f>+D43</f>
        <v>154</v>
      </c>
      <c r="E44" s="593"/>
      <c r="F44" s="69" t="str">
        <f>D43&amp;"_I1"</f>
        <v>154_I1</v>
      </c>
      <c r="G44" s="70" t="s">
        <v>1823</v>
      </c>
      <c r="H44" s="56" t="s">
        <v>2031</v>
      </c>
      <c r="I44" s="56" t="s">
        <v>2032</v>
      </c>
      <c r="J44" s="108" t="s">
        <v>2090</v>
      </c>
      <c r="K44" s="108" t="s">
        <v>2091</v>
      </c>
      <c r="L44" s="108" t="s">
        <v>2092</v>
      </c>
      <c r="M44" s="108" t="s">
        <v>2093</v>
      </c>
      <c r="N44" s="108" t="s">
        <v>2094</v>
      </c>
      <c r="O44" s="108" t="s">
        <v>2095</v>
      </c>
    </row>
    <row r="45" spans="2:15" ht="51.75" customHeight="1" x14ac:dyDescent="0.3">
      <c r="B45" s="563"/>
      <c r="C45" s="612"/>
      <c r="D45" s="183">
        <f>+D44</f>
        <v>154</v>
      </c>
      <c r="E45" s="593"/>
      <c r="F45" s="69" t="str">
        <f>D45&amp;"_I2"</f>
        <v>154_I2</v>
      </c>
      <c r="G45" s="70" t="s">
        <v>1824</v>
      </c>
      <c r="H45" s="56" t="s">
        <v>2031</v>
      </c>
      <c r="I45" s="56" t="s">
        <v>2038</v>
      </c>
      <c r="J45" s="108" t="s">
        <v>2096</v>
      </c>
      <c r="K45" s="108" t="s">
        <v>2096</v>
      </c>
      <c r="L45" s="108" t="s">
        <v>2096</v>
      </c>
      <c r="M45" s="108" t="s">
        <v>2096</v>
      </c>
      <c r="N45" s="108" t="s">
        <v>2096</v>
      </c>
      <c r="O45" s="108" t="s">
        <v>2097</v>
      </c>
    </row>
    <row r="46" spans="2:15" ht="51.75" customHeight="1" thickBot="1" x14ac:dyDescent="0.35">
      <c r="B46" s="564"/>
      <c r="C46" s="613"/>
      <c r="D46" s="184">
        <f>+D45</f>
        <v>154</v>
      </c>
      <c r="E46" s="594"/>
      <c r="F46" s="73" t="str">
        <f>D46&amp;"_I3"</f>
        <v>154_I3</v>
      </c>
      <c r="G46" s="74" t="s">
        <v>1825</v>
      </c>
      <c r="H46" s="57" t="s">
        <v>2031</v>
      </c>
      <c r="I46" s="57" t="s">
        <v>2042</v>
      </c>
      <c r="J46" s="112" t="s">
        <v>2098</v>
      </c>
      <c r="K46" s="112" t="s">
        <v>2098</v>
      </c>
      <c r="L46" s="112" t="s">
        <v>2098</v>
      </c>
      <c r="M46" s="112" t="s">
        <v>2098</v>
      </c>
      <c r="N46" s="112" t="s">
        <v>2098</v>
      </c>
      <c r="O46" s="108" t="s">
        <v>2099</v>
      </c>
    </row>
    <row r="47" spans="2:15" ht="27.6" x14ac:dyDescent="0.3">
      <c r="B47" s="562" t="str">
        <f>+VLOOKUP(D47,bd,MATCH("Área o dependencia",bdfila,0),0)</f>
        <v>Oficina Asesora de Jurídica</v>
      </c>
      <c r="C47" s="614" t="str">
        <f>+VLOOKUP(D47,bd,MATCH("PROCESO: ",bdfila,0),0)</f>
        <v>Gestión Jurídica</v>
      </c>
      <c r="D47" s="443">
        <f>+D14</f>
        <v>156</v>
      </c>
      <c r="E47" s="592" t="str">
        <f>+VLOOKUP($D47,bd,MATCH(E$9,bdfila,0),0)</f>
        <v>Revisar los proyectos de Actos Administrativos, a solicitud de las dependencias</v>
      </c>
      <c r="F47" s="77" t="str">
        <f>D47&amp;"_V1"</f>
        <v>156_V1</v>
      </c>
      <c r="G47" s="124" t="str">
        <f>+VLOOKUP(D47,bd,MATCH(I47,BD_metas!$A$5:$DB$5,0),0)</f>
        <v xml:space="preserve">Cantidad de Proyectos de Actos Administrativos revisados </v>
      </c>
      <c r="H47" s="78" t="s">
        <v>2030</v>
      </c>
      <c r="I47" s="78" t="s">
        <v>1029</v>
      </c>
      <c r="J47" s="125">
        <v>301</v>
      </c>
      <c r="K47" s="125">
        <v>186</v>
      </c>
      <c r="L47" s="125">
        <v>144</v>
      </c>
      <c r="M47" s="126">
        <v>86</v>
      </c>
      <c r="N47" s="126">
        <v>45</v>
      </c>
      <c r="O47" s="128">
        <v>58</v>
      </c>
    </row>
    <row r="48" spans="2:15" ht="27.6" x14ac:dyDescent="0.3">
      <c r="B48" s="563"/>
      <c r="C48" s="612"/>
      <c r="D48" s="183">
        <f>+D47</f>
        <v>156</v>
      </c>
      <c r="E48" s="593"/>
      <c r="F48" s="69" t="str">
        <f>D48&amp;"_V2"</f>
        <v>156_V2</v>
      </c>
      <c r="G48" s="70" t="str">
        <f>+VLOOKUP(D48,bd,MATCH(I48,BD_metas!$A$5:$DB$5,0),0)</f>
        <v xml:space="preserve">Cantidad de Proyectos de Actos Administrativos solicitados. </v>
      </c>
      <c r="H48" s="56" t="s">
        <v>2030</v>
      </c>
      <c r="I48" s="56" t="s">
        <v>1030</v>
      </c>
      <c r="J48" s="104">
        <v>301</v>
      </c>
      <c r="K48" s="104">
        <v>186</v>
      </c>
      <c r="L48" s="104">
        <v>144</v>
      </c>
      <c r="M48" s="50">
        <v>86</v>
      </c>
      <c r="N48" s="50">
        <v>45</v>
      </c>
      <c r="O48" s="71">
        <v>58</v>
      </c>
    </row>
    <row r="49" spans="2:15" ht="59.25" customHeight="1" x14ac:dyDescent="0.3">
      <c r="B49" s="563"/>
      <c r="C49" s="612"/>
      <c r="D49" s="183">
        <f>+D48</f>
        <v>156</v>
      </c>
      <c r="E49" s="593"/>
      <c r="F49" s="69" t="str">
        <f>D48&amp;"_I1"</f>
        <v>156_I1</v>
      </c>
      <c r="G49" s="70" t="s">
        <v>1823</v>
      </c>
      <c r="H49" s="56" t="s">
        <v>2031</v>
      </c>
      <c r="I49" s="56" t="s">
        <v>2032</v>
      </c>
      <c r="J49" s="108" t="s">
        <v>2100</v>
      </c>
      <c r="K49" s="108" t="s">
        <v>2101</v>
      </c>
      <c r="L49" s="108" t="s">
        <v>2102</v>
      </c>
      <c r="M49" s="108" t="s">
        <v>2103</v>
      </c>
      <c r="N49" s="108" t="s">
        <v>2104</v>
      </c>
      <c r="O49" s="108" t="s">
        <v>2105</v>
      </c>
    </row>
    <row r="50" spans="2:15" ht="59.25" customHeight="1" x14ac:dyDescent="0.3">
      <c r="B50" s="563"/>
      <c r="C50" s="612"/>
      <c r="D50" s="183">
        <f>+D49</f>
        <v>156</v>
      </c>
      <c r="E50" s="593"/>
      <c r="F50" s="69" t="str">
        <f>D50&amp;"_I2"</f>
        <v>156_I2</v>
      </c>
      <c r="G50" s="70" t="s">
        <v>1824</v>
      </c>
      <c r="H50" s="56" t="s">
        <v>2031</v>
      </c>
      <c r="I50" s="56" t="s">
        <v>2038</v>
      </c>
      <c r="J50" s="108" t="s">
        <v>2106</v>
      </c>
      <c r="K50" s="108" t="s">
        <v>2106</v>
      </c>
      <c r="L50" s="108" t="s">
        <v>2106</v>
      </c>
      <c r="M50" s="108" t="s">
        <v>2106</v>
      </c>
      <c r="N50" s="108" t="s">
        <v>2106</v>
      </c>
      <c r="O50" s="108" t="s">
        <v>2107</v>
      </c>
    </row>
    <row r="51" spans="2:15" ht="59.25" customHeight="1" thickBot="1" x14ac:dyDescent="0.35">
      <c r="B51" s="564"/>
      <c r="C51" s="613"/>
      <c r="D51" s="184">
        <f>+D50</f>
        <v>156</v>
      </c>
      <c r="E51" s="594"/>
      <c r="F51" s="73" t="str">
        <f>D51&amp;"_I3"</f>
        <v>156_I3</v>
      </c>
      <c r="G51" s="74" t="s">
        <v>1825</v>
      </c>
      <c r="H51" s="57" t="s">
        <v>2031</v>
      </c>
      <c r="I51" s="57" t="s">
        <v>2042</v>
      </c>
      <c r="J51" s="112" t="s">
        <v>2108</v>
      </c>
      <c r="K51" s="112" t="s">
        <v>2108</v>
      </c>
      <c r="L51" s="112" t="s">
        <v>2108</v>
      </c>
      <c r="M51" s="112" t="s">
        <v>2108</v>
      </c>
      <c r="N51" s="112" t="s">
        <v>2108</v>
      </c>
      <c r="O51" s="108" t="s">
        <v>2109</v>
      </c>
    </row>
    <row r="52" spans="2:15" ht="43.5" customHeight="1" x14ac:dyDescent="0.3">
      <c r="B52" s="562" t="str">
        <f>+VLOOKUP(D52,bd,MATCH("Área o dependencia",bdfila,0),0)</f>
        <v>Oficina Asesora de Jurídica</v>
      </c>
      <c r="C52" s="614" t="str">
        <f>+VLOOKUP(D52,bd,MATCH("PROCESO: ",bdfila,0),0)</f>
        <v>Gestión Jurídica</v>
      </c>
      <c r="D52" s="443">
        <f>+D15</f>
        <v>159</v>
      </c>
      <c r="E52" s="592" t="str">
        <f>+VLOOKUP($D52,bd,MATCH(E$9,bdfila,0),0)</f>
        <v xml:space="preserve">Realizar las actuaciones correspondientes, dentro de los  procesos judiciales y trámites extrajudiciales </v>
      </c>
      <c r="F52" s="77" t="str">
        <f>D52&amp;"_V1"</f>
        <v>159_V1</v>
      </c>
      <c r="G52" s="124" t="str">
        <f>+VLOOKUP(D52,bd,MATCH(I52,BD_metas!$A$5:$DB$5,0),0)</f>
        <v xml:space="preserve">Cantidad de requerimientos realizados, frente a los procesos judiciales y trámites extrajudiciales </v>
      </c>
      <c r="H52" s="78" t="s">
        <v>2030</v>
      </c>
      <c r="I52" s="78" t="s">
        <v>1029</v>
      </c>
      <c r="J52" s="125">
        <v>39</v>
      </c>
      <c r="K52" s="125">
        <v>51</v>
      </c>
      <c r="L52" s="125">
        <v>62</v>
      </c>
      <c r="M52" s="126">
        <v>8</v>
      </c>
      <c r="N52" s="126">
        <v>13</v>
      </c>
      <c r="O52" s="128">
        <v>21</v>
      </c>
    </row>
    <row r="53" spans="2:15" ht="54" customHeight="1" x14ac:dyDescent="0.3">
      <c r="B53" s="563"/>
      <c r="C53" s="612"/>
      <c r="D53" s="183">
        <f>+D52</f>
        <v>159</v>
      </c>
      <c r="E53" s="593"/>
      <c r="F53" s="69" t="str">
        <f>D53&amp;"_V2"</f>
        <v>159_V2</v>
      </c>
      <c r="G53" s="70" t="str">
        <f>+VLOOKUP(D53,bd,MATCH(I53,BD_metas!$A$5:$DB$5,0),0)</f>
        <v>(Cantidad de requerimientos solicitados, frente a los procesos judiciales y trámites extrajudiciales - Cantidad de requerimientos, frente a los procesos judiciales y trámites extrajudiciales en termino, pendientes por resolver)</v>
      </c>
      <c r="H53" s="56" t="s">
        <v>2030</v>
      </c>
      <c r="I53" s="56" t="s">
        <v>1030</v>
      </c>
      <c r="J53" s="104">
        <v>39</v>
      </c>
      <c r="K53" s="104">
        <v>51</v>
      </c>
      <c r="L53" s="104">
        <v>62</v>
      </c>
      <c r="M53" s="50">
        <v>8</v>
      </c>
      <c r="N53" s="50">
        <v>13</v>
      </c>
      <c r="O53" s="71">
        <v>21</v>
      </c>
    </row>
    <row r="54" spans="2:15" ht="51.75" customHeight="1" x14ac:dyDescent="0.3">
      <c r="B54" s="563"/>
      <c r="C54" s="612"/>
      <c r="D54" s="183">
        <f>+D53</f>
        <v>159</v>
      </c>
      <c r="E54" s="593"/>
      <c r="F54" s="69" t="str">
        <f>D53&amp;"_I1"</f>
        <v>159_I1</v>
      </c>
      <c r="G54" s="70" t="s">
        <v>1823</v>
      </c>
      <c r="H54" s="56" t="s">
        <v>2031</v>
      </c>
      <c r="I54" s="56" t="s">
        <v>2032</v>
      </c>
      <c r="J54" s="108" t="s">
        <v>2110</v>
      </c>
      <c r="K54" s="108" t="s">
        <v>2111</v>
      </c>
      <c r="L54" s="108" t="s">
        <v>2112</v>
      </c>
      <c r="M54" s="108" t="s">
        <v>2113</v>
      </c>
      <c r="N54" s="108" t="s">
        <v>2114</v>
      </c>
      <c r="O54" s="108" t="s">
        <v>2115</v>
      </c>
    </row>
    <row r="55" spans="2:15" ht="51.75" customHeight="1" x14ac:dyDescent="0.3">
      <c r="B55" s="563"/>
      <c r="C55" s="612"/>
      <c r="D55" s="183">
        <f>+D54</f>
        <v>159</v>
      </c>
      <c r="E55" s="593"/>
      <c r="F55" s="69" t="str">
        <f>D55&amp;"_I2"</f>
        <v>159_I2</v>
      </c>
      <c r="G55" s="70" t="s">
        <v>1824</v>
      </c>
      <c r="H55" s="56" t="s">
        <v>2031</v>
      </c>
      <c r="I55" s="56" t="s">
        <v>2038</v>
      </c>
      <c r="J55" s="108" t="s">
        <v>2106</v>
      </c>
      <c r="K55" s="108" t="s">
        <v>2106</v>
      </c>
      <c r="L55" s="108" t="s">
        <v>2106</v>
      </c>
      <c r="M55" s="108" t="s">
        <v>2106</v>
      </c>
      <c r="N55" s="108" t="s">
        <v>2106</v>
      </c>
      <c r="O55" s="108" t="s">
        <v>2116</v>
      </c>
    </row>
    <row r="56" spans="2:15" ht="51.75" customHeight="1" thickBot="1" x14ac:dyDescent="0.35">
      <c r="B56" s="564"/>
      <c r="C56" s="613"/>
      <c r="D56" s="184">
        <f>+D55</f>
        <v>159</v>
      </c>
      <c r="E56" s="594"/>
      <c r="F56" s="73" t="str">
        <f>D56&amp;"_I3"</f>
        <v>159_I3</v>
      </c>
      <c r="G56" s="74" t="s">
        <v>1825</v>
      </c>
      <c r="H56" s="57" t="s">
        <v>2031</v>
      </c>
      <c r="I56" s="57" t="s">
        <v>2042</v>
      </c>
      <c r="J56" s="112" t="s">
        <v>2117</v>
      </c>
      <c r="K56" s="112" t="s">
        <v>2117</v>
      </c>
      <c r="L56" s="112" t="s">
        <v>2117</v>
      </c>
      <c r="M56" s="112" t="s">
        <v>2117</v>
      </c>
      <c r="N56" s="112" t="s">
        <v>2117</v>
      </c>
      <c r="O56" s="108" t="s">
        <v>2118</v>
      </c>
    </row>
    <row r="57" spans="2:15" ht="27.6" x14ac:dyDescent="0.3">
      <c r="B57" s="576" t="str">
        <f>+VLOOKUP(D57,bd,MATCH("Área o dependencia",bdfila,0),0)</f>
        <v>Oficina de Control Interno</v>
      </c>
      <c r="C57" s="611" t="str">
        <f>+VLOOKUP(D57,bd,MATCH("PROCESO: ",bdfila,0),0)</f>
        <v>Evaluación del Sistema de Control Interno</v>
      </c>
      <c r="D57" s="442">
        <f>+D16</f>
        <v>134</v>
      </c>
      <c r="E57" s="604" t="str">
        <f>+VLOOKUP($D57,bd,MATCH(E$9,bdfila,0),0)</f>
        <v xml:space="preserve">Ejecutar las Auditorias Internas de Calidad </v>
      </c>
      <c r="F57" s="63" t="str">
        <f>D57&amp;"_V1"</f>
        <v>134_V1</v>
      </c>
      <c r="G57" s="64" t="str">
        <f>+VLOOKUP(D57,bd,MATCH(I57,BD_metas!$A$5:$DB$5,0),0)</f>
        <v>Número de  Auditorías Internas de calidad ejecutadas en el periodo</v>
      </c>
      <c r="H57" s="65" t="s">
        <v>2030</v>
      </c>
      <c r="I57" s="65" t="s">
        <v>1029</v>
      </c>
      <c r="J57" s="103">
        <v>0</v>
      </c>
      <c r="K57" s="103">
        <v>0</v>
      </c>
      <c r="L57" s="103">
        <v>0</v>
      </c>
      <c r="M57" s="66">
        <v>0</v>
      </c>
      <c r="N57" s="66">
        <v>11</v>
      </c>
      <c r="O57" s="67">
        <v>11</v>
      </c>
    </row>
    <row r="58" spans="2:15" ht="27.6" x14ac:dyDescent="0.3">
      <c r="B58" s="563"/>
      <c r="C58" s="612"/>
      <c r="D58" s="183">
        <f>+D57</f>
        <v>134</v>
      </c>
      <c r="E58" s="593"/>
      <c r="F58" s="69" t="str">
        <f>D58&amp;"_V2"</f>
        <v>134_V2</v>
      </c>
      <c r="G58" s="70" t="str">
        <f>+VLOOKUP(D58,bd,MATCH(I58,BD_metas!$A$5:$DB$5,0),0)</f>
        <v>Número de  Auditorías Internas de calidad planificadas en el periodo</v>
      </c>
      <c r="H58" s="56" t="s">
        <v>2030</v>
      </c>
      <c r="I58" s="56" t="s">
        <v>1030</v>
      </c>
      <c r="J58" s="125">
        <v>0</v>
      </c>
      <c r="K58" s="125">
        <v>0</v>
      </c>
      <c r="L58" s="125">
        <v>0</v>
      </c>
      <c r="M58" s="126">
        <v>0</v>
      </c>
      <c r="N58" s="126">
        <v>17</v>
      </c>
      <c r="O58" s="71">
        <v>5</v>
      </c>
    </row>
    <row r="59" spans="2:15" ht="29.25" customHeight="1" x14ac:dyDescent="0.3">
      <c r="B59" s="563"/>
      <c r="C59" s="612"/>
      <c r="D59" s="183">
        <f>+D58</f>
        <v>134</v>
      </c>
      <c r="E59" s="593"/>
      <c r="F59" s="69" t="str">
        <f>D58&amp;"_I1"</f>
        <v>134_I1</v>
      </c>
      <c r="G59" s="70" t="s">
        <v>1823</v>
      </c>
      <c r="H59" s="56" t="s">
        <v>2031</v>
      </c>
      <c r="I59" s="56" t="s">
        <v>2032</v>
      </c>
      <c r="J59" s="108" t="s">
        <v>642</v>
      </c>
      <c r="K59" s="108" t="s">
        <v>642</v>
      </c>
      <c r="L59" s="108" t="s">
        <v>642</v>
      </c>
      <c r="M59" s="108" t="s">
        <v>642</v>
      </c>
      <c r="N59" s="108" t="s">
        <v>2119</v>
      </c>
      <c r="O59" s="108" t="s">
        <v>2120</v>
      </c>
    </row>
    <row r="60" spans="2:15" ht="29.25" customHeight="1" x14ac:dyDescent="0.3">
      <c r="B60" s="563"/>
      <c r="C60" s="612"/>
      <c r="D60" s="183">
        <f>+D59</f>
        <v>134</v>
      </c>
      <c r="E60" s="593"/>
      <c r="F60" s="69" t="str">
        <f>D60&amp;"_I2"</f>
        <v>134_I2</v>
      </c>
      <c r="G60" s="70" t="s">
        <v>1824</v>
      </c>
      <c r="H60" s="56" t="s">
        <v>2031</v>
      </c>
      <c r="I60" s="56" t="s">
        <v>2038</v>
      </c>
      <c r="J60" s="108" t="s">
        <v>642</v>
      </c>
      <c r="K60" s="108" t="s">
        <v>642</v>
      </c>
      <c r="L60" s="108" t="s">
        <v>642</v>
      </c>
      <c r="M60" s="108" t="s">
        <v>642</v>
      </c>
      <c r="N60" s="108" t="s">
        <v>2121</v>
      </c>
      <c r="O60" s="108" t="s">
        <v>2122</v>
      </c>
    </row>
    <row r="61" spans="2:15" ht="29.25" customHeight="1" thickBot="1" x14ac:dyDescent="0.35">
      <c r="B61" s="564"/>
      <c r="C61" s="613"/>
      <c r="D61" s="184">
        <f>+D60</f>
        <v>134</v>
      </c>
      <c r="E61" s="594"/>
      <c r="F61" s="73" t="str">
        <f>D61&amp;"_I3"</f>
        <v>134_I3</v>
      </c>
      <c r="G61" s="74" t="s">
        <v>1825</v>
      </c>
      <c r="H61" s="57" t="s">
        <v>2031</v>
      </c>
      <c r="I61" s="57" t="s">
        <v>2042</v>
      </c>
      <c r="J61" s="112" t="s">
        <v>642</v>
      </c>
      <c r="K61" s="112" t="s">
        <v>642</v>
      </c>
      <c r="L61" s="112" t="s">
        <v>642</v>
      </c>
      <c r="M61" s="112" t="s">
        <v>642</v>
      </c>
      <c r="N61" s="112" t="s">
        <v>1269</v>
      </c>
      <c r="O61" s="112" t="s">
        <v>1269</v>
      </c>
    </row>
    <row r="62" spans="2:15" ht="29.25" customHeight="1" x14ac:dyDescent="0.3">
      <c r="B62" s="562" t="str">
        <f>+VLOOKUP(D62,bd,MATCH("Área o dependencia",bdfila,0),0)</f>
        <v>Oficina de Control Interno</v>
      </c>
      <c r="C62" s="614" t="str">
        <f>+VLOOKUP(D62,bd,MATCH("PROCESO: ",bdfila,0),0)</f>
        <v>Evaluación del Sistema de Control Interno</v>
      </c>
      <c r="D62" s="443" t="str">
        <f>+D17</f>
        <v>136A</v>
      </c>
      <c r="E62" s="592" t="str">
        <f>+VLOOKUP($D62,bd,MATCH(E$9,bdfila,0),0)</f>
        <v xml:space="preserve">Ejecutar el Plan Anual de Auditorías </v>
      </c>
      <c r="F62" s="77" t="str">
        <f>D62&amp;"_V1"</f>
        <v>136A_V1</v>
      </c>
      <c r="G62" s="124" t="str">
        <f>+VLOOKUP(D62,bd,MATCH(I62,BD_metas!$A$5:$DB$5,0),0)</f>
        <v xml:space="preserve">Actividades de aseguramiento y reportes contenidas en el Plan Anual de auditorias ejecutadas </v>
      </c>
      <c r="H62" s="78" t="s">
        <v>2030</v>
      </c>
      <c r="I62" s="78" t="s">
        <v>1029</v>
      </c>
      <c r="J62" s="125">
        <v>6</v>
      </c>
      <c r="K62" s="125">
        <v>8</v>
      </c>
      <c r="L62" s="125">
        <v>6</v>
      </c>
      <c r="M62" s="126">
        <v>11</v>
      </c>
      <c r="N62" s="126">
        <v>10</v>
      </c>
      <c r="O62" s="126">
        <v>4</v>
      </c>
    </row>
    <row r="63" spans="2:15" ht="29.25" customHeight="1" x14ac:dyDescent="0.3">
      <c r="B63" s="563"/>
      <c r="C63" s="612"/>
      <c r="D63" s="183" t="str">
        <f>+D62</f>
        <v>136A</v>
      </c>
      <c r="E63" s="593"/>
      <c r="F63" s="69" t="str">
        <f>D63&amp;"_V2"</f>
        <v>136A_V2</v>
      </c>
      <c r="G63" s="70" t="str">
        <f>+VLOOKUP(D63,bd,MATCH(I63,BD_metas!$A$5:$DB$5,0),0)</f>
        <v>Actividades de aseguramiento y reportes contenidas en el Plan Anual de auditorias programadas</v>
      </c>
      <c r="H63" s="56" t="s">
        <v>2030</v>
      </c>
      <c r="I63" s="56" t="s">
        <v>1030</v>
      </c>
      <c r="J63" s="125">
        <v>6</v>
      </c>
      <c r="K63" s="125">
        <v>8</v>
      </c>
      <c r="L63" s="125">
        <v>6</v>
      </c>
      <c r="M63" s="126">
        <v>11</v>
      </c>
      <c r="N63" s="126">
        <v>10</v>
      </c>
      <c r="O63" s="126">
        <v>4</v>
      </c>
    </row>
    <row r="64" spans="2:15" ht="29.25" customHeight="1" x14ac:dyDescent="0.3">
      <c r="B64" s="563"/>
      <c r="C64" s="612"/>
      <c r="D64" s="183" t="str">
        <f>+D63</f>
        <v>136A</v>
      </c>
      <c r="E64" s="593"/>
      <c r="F64" s="69" t="str">
        <f>D63&amp;"_I1"</f>
        <v>136A_I1</v>
      </c>
      <c r="G64" s="70" t="s">
        <v>1823</v>
      </c>
      <c r="H64" s="56" t="s">
        <v>2031</v>
      </c>
      <c r="I64" s="56" t="s">
        <v>2032</v>
      </c>
      <c r="J64" s="108" t="s">
        <v>2123</v>
      </c>
      <c r="K64" s="108" t="s">
        <v>2124</v>
      </c>
      <c r="L64" s="108" t="s">
        <v>2125</v>
      </c>
      <c r="M64" s="108" t="s">
        <v>2126</v>
      </c>
      <c r="N64" s="108" t="s">
        <v>2127</v>
      </c>
      <c r="O64" s="108" t="s">
        <v>2128</v>
      </c>
    </row>
    <row r="65" spans="2:15" ht="29.25" customHeight="1" x14ac:dyDescent="0.3">
      <c r="B65" s="563"/>
      <c r="C65" s="612"/>
      <c r="D65" s="183" t="str">
        <f>+D64</f>
        <v>136A</v>
      </c>
      <c r="E65" s="593"/>
      <c r="F65" s="69" t="str">
        <f>D65&amp;"_I2"</f>
        <v>136A_I2</v>
      </c>
      <c r="G65" s="70" t="s">
        <v>1824</v>
      </c>
      <c r="H65" s="56" t="s">
        <v>2031</v>
      </c>
      <c r="I65" s="56" t="s">
        <v>2038</v>
      </c>
      <c r="J65" s="108" t="s">
        <v>2129</v>
      </c>
      <c r="K65" s="108" t="s">
        <v>2129</v>
      </c>
      <c r="L65" s="108" t="s">
        <v>2129</v>
      </c>
      <c r="M65" s="108" t="s">
        <v>2129</v>
      </c>
      <c r="N65" s="108" t="s">
        <v>2129</v>
      </c>
      <c r="O65" s="108" t="s">
        <v>2129</v>
      </c>
    </row>
    <row r="66" spans="2:15" ht="29.25" customHeight="1" thickBot="1" x14ac:dyDescent="0.35">
      <c r="B66" s="564"/>
      <c r="C66" s="613"/>
      <c r="D66" s="184" t="str">
        <f>+D65</f>
        <v>136A</v>
      </c>
      <c r="E66" s="594"/>
      <c r="F66" s="73" t="str">
        <f>D66&amp;"_I3"</f>
        <v>136A_I3</v>
      </c>
      <c r="G66" s="74" t="s">
        <v>1825</v>
      </c>
      <c r="H66" s="57" t="s">
        <v>2031</v>
      </c>
      <c r="I66" s="57" t="s">
        <v>2042</v>
      </c>
      <c r="J66" s="112" t="s">
        <v>2130</v>
      </c>
      <c r="K66" s="112" t="s">
        <v>2130</v>
      </c>
      <c r="L66" s="112" t="s">
        <v>2130</v>
      </c>
      <c r="M66" s="112" t="s">
        <v>2130</v>
      </c>
      <c r="N66" s="112" t="s">
        <v>2130</v>
      </c>
      <c r="O66" s="112" t="s">
        <v>2130</v>
      </c>
    </row>
    <row r="67" spans="2:15" ht="29.25" customHeight="1" x14ac:dyDescent="0.3">
      <c r="B67" s="562" t="str">
        <f>+VLOOKUP(D67,bd,MATCH("Área o dependencia",bdfila,0),0)</f>
        <v>Oficina de Control Interno Disciplinario</v>
      </c>
      <c r="C67" s="614" t="str">
        <f>+VLOOKUP(D67,bd,MATCH("PROCESO: ",bdfila,0),0)</f>
        <v>Control Disciplinario</v>
      </c>
      <c r="D67" s="443">
        <f>+D18</f>
        <v>160</v>
      </c>
      <c r="E67" s="592" t="str">
        <f>+VLOOKUP($D67,bd,MATCH(E$9,bdfila,0),0)</f>
        <v>Emitir decisiones interlocutorias</v>
      </c>
      <c r="F67" s="77" t="str">
        <f>D67&amp;"_V1"</f>
        <v>160_V1</v>
      </c>
      <c r="G67" s="124" t="str">
        <f>+VLOOKUP(D67,bd,MATCH(I67,BD_metas!$A$5:$DB$5,0),0)</f>
        <v xml:space="preserve">Sumatoria de autos o providencias interlocutorias emitidas en los procesos disciplinarios gestionados por la oficina de control interno disciplinario de la Secretaría General.  </v>
      </c>
      <c r="H67" s="78" t="s">
        <v>2030</v>
      </c>
      <c r="I67" s="78" t="s">
        <v>1029</v>
      </c>
      <c r="J67" s="125">
        <v>13</v>
      </c>
      <c r="K67" s="125">
        <v>12</v>
      </c>
      <c r="L67" s="125">
        <v>9</v>
      </c>
      <c r="M67" s="126">
        <v>11</v>
      </c>
      <c r="N67" s="126">
        <v>8</v>
      </c>
      <c r="O67" s="128">
        <v>8</v>
      </c>
    </row>
    <row r="68" spans="2:15" ht="29.25" customHeight="1" x14ac:dyDescent="0.3">
      <c r="B68" s="563"/>
      <c r="C68" s="612"/>
      <c r="D68" s="183">
        <f>+D67</f>
        <v>160</v>
      </c>
      <c r="E68" s="593"/>
      <c r="F68" s="69" t="str">
        <f>D68&amp;"_V2"</f>
        <v>160_V2</v>
      </c>
      <c r="G68" s="70">
        <f>+VLOOKUP(D68,bd,MATCH(I68,BD_metas!$A$5:$DB$5,0),0)</f>
        <v>0</v>
      </c>
      <c r="H68" s="56" t="s">
        <v>2030</v>
      </c>
      <c r="I68" s="56" t="s">
        <v>1030</v>
      </c>
      <c r="J68" s="104">
        <v>0</v>
      </c>
      <c r="K68" s="104">
        <v>0</v>
      </c>
      <c r="L68" s="104">
        <v>0</v>
      </c>
      <c r="M68" s="50">
        <v>0</v>
      </c>
      <c r="N68" s="50">
        <v>0</v>
      </c>
      <c r="O68" s="71">
        <v>0</v>
      </c>
    </row>
    <row r="69" spans="2:15" ht="29.25" customHeight="1" x14ac:dyDescent="0.3">
      <c r="B69" s="563"/>
      <c r="C69" s="612"/>
      <c r="D69" s="183">
        <f>+D68</f>
        <v>160</v>
      </c>
      <c r="E69" s="593"/>
      <c r="F69" s="69" t="str">
        <f>D68&amp;"_I1"</f>
        <v>160_I1</v>
      </c>
      <c r="G69" s="70" t="s">
        <v>1823</v>
      </c>
      <c r="H69" s="56" t="s">
        <v>2031</v>
      </c>
      <c r="I69" s="56" t="s">
        <v>2032</v>
      </c>
      <c r="J69" s="108" t="s">
        <v>2131</v>
      </c>
      <c r="K69" s="108" t="s">
        <v>2132</v>
      </c>
      <c r="L69" s="108" t="s">
        <v>2133</v>
      </c>
      <c r="M69" s="108" t="s">
        <v>2134</v>
      </c>
      <c r="N69" s="108" t="s">
        <v>2135</v>
      </c>
      <c r="O69" s="71" t="s">
        <v>2136</v>
      </c>
    </row>
    <row r="70" spans="2:15" ht="29.25" customHeight="1" x14ac:dyDescent="0.3">
      <c r="B70" s="563"/>
      <c r="C70" s="612"/>
      <c r="D70" s="183">
        <f>+D69</f>
        <v>160</v>
      </c>
      <c r="E70" s="593"/>
      <c r="F70" s="69" t="str">
        <f>D70&amp;"_I2"</f>
        <v>160_I2</v>
      </c>
      <c r="G70" s="70" t="s">
        <v>1824</v>
      </c>
      <c r="H70" s="56" t="s">
        <v>2031</v>
      </c>
      <c r="I70" s="56" t="s">
        <v>2038</v>
      </c>
      <c r="J70" s="108" t="s">
        <v>2137</v>
      </c>
      <c r="K70" s="108" t="s">
        <v>2138</v>
      </c>
      <c r="L70" s="108" t="s">
        <v>2137</v>
      </c>
      <c r="M70" s="108" t="s">
        <v>2137</v>
      </c>
      <c r="N70" s="108" t="s">
        <v>2138</v>
      </c>
      <c r="O70" s="108" t="s">
        <v>2138</v>
      </c>
    </row>
    <row r="71" spans="2:15" ht="29.25" customHeight="1" thickBot="1" x14ac:dyDescent="0.35">
      <c r="B71" s="564"/>
      <c r="C71" s="613"/>
      <c r="D71" s="184">
        <f>+D70</f>
        <v>160</v>
      </c>
      <c r="E71" s="594"/>
      <c r="F71" s="73" t="str">
        <f>D71&amp;"_I3"</f>
        <v>160_I3</v>
      </c>
      <c r="G71" s="74" t="s">
        <v>1825</v>
      </c>
      <c r="H71" s="57" t="s">
        <v>2031</v>
      </c>
      <c r="I71" s="57" t="s">
        <v>2042</v>
      </c>
      <c r="J71" s="112" t="s">
        <v>2139</v>
      </c>
      <c r="K71" s="112" t="s">
        <v>2139</v>
      </c>
      <c r="L71" s="112" t="s">
        <v>2139</v>
      </c>
      <c r="M71" s="112" t="s">
        <v>2139</v>
      </c>
      <c r="N71" s="112" t="s">
        <v>2139</v>
      </c>
      <c r="O71" s="112" t="s">
        <v>2139</v>
      </c>
    </row>
    <row r="72" spans="2:15" ht="30" customHeight="1" x14ac:dyDescent="0.3">
      <c r="B72" s="576" t="str">
        <f>+VLOOKUP(D72,bd,MATCH("Área o dependencia",bdfila,0),0)</f>
        <v>Oficina de Control Interno Disciplinario</v>
      </c>
      <c r="C72" s="611" t="str">
        <f>+VLOOKUP(D72,bd,MATCH("PROCESO: ",bdfila,0),0)</f>
        <v>Control Disciplinario</v>
      </c>
      <c r="D72" s="442" t="str">
        <f>+D19</f>
        <v>160B</v>
      </c>
      <c r="E72" s="604" t="str">
        <f>+VLOOKUP($D72,bd,MATCH(E$9,bdfila,0),0)</f>
        <v>Emitir decisiones disciplinarias, tomadas en los procesos próximos a vencer por términos</v>
      </c>
      <c r="F72" s="63" t="str">
        <f>D72&amp;"_V1"</f>
        <v>160B_V1</v>
      </c>
      <c r="G72" s="64" t="str">
        <f>+VLOOKUP(D72,bd,MATCH(I72,BD_metas!$A$5:$DB$5,0),0)</f>
        <v># de expedientes con etapa procesal dentro de los términos legales</v>
      </c>
      <c r="H72" s="65" t="s">
        <v>2030</v>
      </c>
      <c r="I72" s="65" t="s">
        <v>1029</v>
      </c>
      <c r="J72" s="103">
        <v>43</v>
      </c>
      <c r="K72" s="103">
        <v>50</v>
      </c>
      <c r="L72" s="103">
        <v>51</v>
      </c>
      <c r="M72" s="66">
        <v>56</v>
      </c>
      <c r="N72" s="66">
        <v>57</v>
      </c>
      <c r="O72" s="66">
        <v>57</v>
      </c>
    </row>
    <row r="73" spans="2:15" ht="30" customHeight="1" x14ac:dyDescent="0.3">
      <c r="B73" s="563"/>
      <c r="C73" s="612"/>
      <c r="D73" s="183" t="str">
        <f>+D72</f>
        <v>160B</v>
      </c>
      <c r="E73" s="593"/>
      <c r="F73" s="69" t="str">
        <f>D73&amp;"_V2"</f>
        <v>160B_V2</v>
      </c>
      <c r="G73" s="70" t="str">
        <f>+VLOOKUP(D73,bd,MATCH(I73,BD_metas!$A$5:$DB$5,0),0)</f>
        <v># de expedientes totales en curso, en las diferentes etapas del procesodisciplinario</v>
      </c>
      <c r="H73" s="56" t="s">
        <v>2030</v>
      </c>
      <c r="I73" s="56" t="s">
        <v>1030</v>
      </c>
      <c r="J73" s="104">
        <v>45</v>
      </c>
      <c r="K73" s="104">
        <v>53</v>
      </c>
      <c r="L73" s="104">
        <v>55</v>
      </c>
      <c r="M73" s="50">
        <v>56</v>
      </c>
      <c r="N73" s="50">
        <v>57</v>
      </c>
      <c r="O73" s="50">
        <v>57</v>
      </c>
    </row>
    <row r="74" spans="2:15" ht="30" customHeight="1" x14ac:dyDescent="0.3">
      <c r="B74" s="563"/>
      <c r="C74" s="612"/>
      <c r="D74" s="183" t="str">
        <f>+D73</f>
        <v>160B</v>
      </c>
      <c r="E74" s="593"/>
      <c r="F74" s="69" t="str">
        <f>D73&amp;"_I1"</f>
        <v>160B_I1</v>
      </c>
      <c r="G74" s="70" t="s">
        <v>1823</v>
      </c>
      <c r="H74" s="56" t="s">
        <v>2031</v>
      </c>
      <c r="I74" s="56" t="s">
        <v>2032</v>
      </c>
      <c r="J74" s="108" t="s">
        <v>2140</v>
      </c>
      <c r="K74" s="108" t="s">
        <v>2141</v>
      </c>
      <c r="L74" s="108" t="s">
        <v>2142</v>
      </c>
      <c r="M74" s="108" t="s">
        <v>2143</v>
      </c>
      <c r="N74" s="108" t="s">
        <v>2144</v>
      </c>
      <c r="O74" s="108" t="s">
        <v>2144</v>
      </c>
    </row>
    <row r="75" spans="2:15" ht="36.75" customHeight="1" x14ac:dyDescent="0.3">
      <c r="B75" s="563"/>
      <c r="C75" s="612"/>
      <c r="D75" s="183" t="str">
        <f>+D74</f>
        <v>160B</v>
      </c>
      <c r="E75" s="593"/>
      <c r="F75" s="69" t="str">
        <f>D75&amp;"_I2"</f>
        <v>160B_I2</v>
      </c>
      <c r="G75" s="70" t="s">
        <v>1824</v>
      </c>
      <c r="H75" s="56" t="s">
        <v>2031</v>
      </c>
      <c r="I75" s="56" t="s">
        <v>2038</v>
      </c>
      <c r="J75" s="108" t="s">
        <v>2145</v>
      </c>
      <c r="K75" s="108" t="s">
        <v>2146</v>
      </c>
      <c r="L75" s="108" t="s">
        <v>2147</v>
      </c>
      <c r="M75" s="108" t="s">
        <v>2137</v>
      </c>
      <c r="N75" s="108" t="s">
        <v>2137</v>
      </c>
      <c r="O75" s="108" t="s">
        <v>2137</v>
      </c>
    </row>
    <row r="76" spans="2:15" ht="45.15" customHeight="1" thickBot="1" x14ac:dyDescent="0.35">
      <c r="B76" s="564"/>
      <c r="C76" s="613"/>
      <c r="D76" s="184" t="str">
        <f>+D75</f>
        <v>160B</v>
      </c>
      <c r="E76" s="594"/>
      <c r="F76" s="73" t="str">
        <f>D76&amp;"_I3"</f>
        <v>160B_I3</v>
      </c>
      <c r="G76" s="74" t="s">
        <v>1825</v>
      </c>
      <c r="H76" s="57" t="s">
        <v>2031</v>
      </c>
      <c r="I76" s="57" t="s">
        <v>2042</v>
      </c>
      <c r="J76" s="112" t="s">
        <v>2148</v>
      </c>
      <c r="K76" s="112" t="s">
        <v>2148</v>
      </c>
      <c r="L76" s="112" t="s">
        <v>2148</v>
      </c>
      <c r="M76" s="112" t="s">
        <v>2148</v>
      </c>
      <c r="N76" s="112" t="s">
        <v>2148</v>
      </c>
      <c r="O76" s="112" t="s">
        <v>2148</v>
      </c>
    </row>
    <row r="77" spans="2:15" ht="25.5" hidden="1" customHeight="1" x14ac:dyDescent="0.3">
      <c r="B77" s="562" t="str">
        <f>+VLOOKUP(D77,bd,MATCH("Área o dependencia",bdfila,0),0)</f>
        <v>Oficina de Protocolo</v>
      </c>
      <c r="C77" s="614" t="str">
        <f>+VLOOKUP(D77,bd,MATCH("PROCESO: ",bdfila,0),0)</f>
        <v>No Aplica</v>
      </c>
      <c r="D77" s="443">
        <f>+D20</f>
        <v>161</v>
      </c>
      <c r="E77" s="592" t="str">
        <f>+VLOOKUP($D77,bd,MATCH(E$9,bdfila,0),0)</f>
        <v>Superar el nivel de satisfacción de los servicios protocolarios prestados</v>
      </c>
      <c r="F77" s="77" t="str">
        <f>D77&amp;"_V1"</f>
        <v>161_V1</v>
      </c>
      <c r="G77" s="124" t="str">
        <f>+VLOOKUP(D77,bd,MATCH(I77,BD_metas!$A$5:$DB$5,0),0)</f>
        <v>Promedio de evaluación de las encuestas de satisfacción de los servicios protocolarios prestados</v>
      </c>
      <c r="H77" s="78" t="s">
        <v>2030</v>
      </c>
      <c r="I77" s="78" t="s">
        <v>1029</v>
      </c>
      <c r="J77" s="125"/>
      <c r="K77" s="125"/>
      <c r="L77" s="125"/>
      <c r="M77" s="126"/>
      <c r="N77" s="126"/>
      <c r="O77" s="128"/>
    </row>
    <row r="78" spans="2:15" ht="25.5" hidden="1" customHeight="1" x14ac:dyDescent="0.3">
      <c r="B78" s="563"/>
      <c r="C78" s="612"/>
      <c r="D78" s="183">
        <f>+D77</f>
        <v>161</v>
      </c>
      <c r="E78" s="593"/>
      <c r="F78" s="69" t="str">
        <f>D78&amp;"_V2"</f>
        <v>161_V2</v>
      </c>
      <c r="G78" s="70" t="str">
        <f>+VLOOKUP(D78,bd,MATCH(I78,BD_metas!$A$5:$DB$5,0),0)</f>
        <v>Porcentaje máximo de satisfacción de los servicios protocolarios prestados</v>
      </c>
      <c r="H78" s="56" t="s">
        <v>2030</v>
      </c>
      <c r="I78" s="56" t="s">
        <v>1030</v>
      </c>
      <c r="J78" s="104"/>
      <c r="K78" s="104"/>
      <c r="L78" s="104"/>
      <c r="M78" s="50"/>
      <c r="N78" s="50"/>
      <c r="O78" s="71"/>
    </row>
    <row r="79" spans="2:15" ht="28.2" hidden="1" thickBot="1" x14ac:dyDescent="0.35">
      <c r="B79" s="563"/>
      <c r="C79" s="612"/>
      <c r="D79" s="183">
        <f>+D78</f>
        <v>161</v>
      </c>
      <c r="E79" s="593"/>
      <c r="F79" s="69" t="str">
        <f>D78&amp;"_I1"</f>
        <v>161_I1</v>
      </c>
      <c r="G79" s="70" t="s">
        <v>1823</v>
      </c>
      <c r="H79" s="56" t="s">
        <v>2031</v>
      </c>
      <c r="I79" s="56" t="s">
        <v>2032</v>
      </c>
      <c r="J79" s="104"/>
      <c r="K79" s="105"/>
      <c r="L79" s="105"/>
      <c r="M79" s="50"/>
      <c r="N79" s="50"/>
      <c r="O79" s="71"/>
    </row>
    <row r="80" spans="2:15" ht="42" hidden="1" thickBot="1" x14ac:dyDescent="0.35">
      <c r="B80" s="563"/>
      <c r="C80" s="612"/>
      <c r="D80" s="183">
        <f>+D79</f>
        <v>161</v>
      </c>
      <c r="E80" s="593"/>
      <c r="F80" s="69" t="str">
        <f>D80&amp;"_I2"</f>
        <v>161_I2</v>
      </c>
      <c r="G80" s="70" t="s">
        <v>1824</v>
      </c>
      <c r="H80" s="56" t="s">
        <v>2031</v>
      </c>
      <c r="I80" s="56" t="s">
        <v>2038</v>
      </c>
      <c r="J80" s="104"/>
      <c r="K80" s="104"/>
      <c r="L80" s="104"/>
      <c r="M80" s="50"/>
      <c r="N80" s="50"/>
      <c r="O80" s="71"/>
    </row>
    <row r="81" spans="2:15" ht="42" hidden="1" thickBot="1" x14ac:dyDescent="0.35">
      <c r="B81" s="564"/>
      <c r="C81" s="613"/>
      <c r="D81" s="184">
        <f>+D80</f>
        <v>161</v>
      </c>
      <c r="E81" s="594"/>
      <c r="F81" s="73" t="str">
        <f>D81&amp;"_I3"</f>
        <v>161_I3</v>
      </c>
      <c r="G81" s="74" t="s">
        <v>1825</v>
      </c>
      <c r="H81" s="57" t="s">
        <v>2031</v>
      </c>
      <c r="I81" s="57" t="s">
        <v>2042</v>
      </c>
      <c r="J81" s="107"/>
      <c r="K81" s="182"/>
      <c r="L81" s="182"/>
      <c r="M81" s="53"/>
      <c r="N81" s="53"/>
      <c r="O81" s="75"/>
    </row>
    <row r="82" spans="2:15" ht="25.5" customHeight="1" x14ac:dyDescent="0.3">
      <c r="B82" s="576" t="str">
        <f>+VLOOKUP(D82,bd,MATCH("Área o dependencia",bdfila,0),0)</f>
        <v>Oficina de Tecnologías de la Información y las Comunicaciones</v>
      </c>
      <c r="C82" s="611" t="str">
        <f>+VLOOKUP(D82,bd,MATCH("PROCESO: ",bdfila,0),0)</f>
        <v>Estrategia de Tecnologías de la Información y las Comunicaciones</v>
      </c>
      <c r="D82" s="442">
        <f>+D21</f>
        <v>138</v>
      </c>
      <c r="E82" s="604" t="str">
        <f>+VLOOKUP($D82,bd,MATCH(E$9,bdfila,0),0)</f>
        <v xml:space="preserve">Mantener disponibles y en operación los sistemas de información de la Secretaría General </v>
      </c>
      <c r="F82" s="63" t="str">
        <f>D82&amp;"_V1"</f>
        <v>138_V1</v>
      </c>
      <c r="G82" s="64" t="str">
        <f>+VLOOKUP(D82,bd,MATCH(I82,BD_metas!$A$5:$DB$5,0),0)</f>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
      <c r="H82" s="65" t="s">
        <v>2030</v>
      </c>
      <c r="I82" s="65" t="s">
        <v>1029</v>
      </c>
      <c r="J82" s="103">
        <v>97</v>
      </c>
      <c r="K82" s="103">
        <v>99.8</v>
      </c>
      <c r="L82" s="103">
        <v>100</v>
      </c>
      <c r="M82" s="103">
        <v>99.9</v>
      </c>
      <c r="N82" s="103">
        <v>100</v>
      </c>
      <c r="O82" s="128">
        <v>99.9</v>
      </c>
    </row>
    <row r="83" spans="2:15" ht="25.5" customHeight="1" x14ac:dyDescent="0.3">
      <c r="B83" s="563"/>
      <c r="C83" s="612"/>
      <c r="D83" s="183">
        <f>+D82</f>
        <v>138</v>
      </c>
      <c r="E83" s="593"/>
      <c r="F83" s="69" t="str">
        <f>D83&amp;"_V2"</f>
        <v>138_V2</v>
      </c>
      <c r="G83" s="70" t="str">
        <f>+VLOOKUP(D83,bd,MATCH(I83,BD_metas!$A$5:$DB$5,0),0)</f>
        <v xml:space="preserve">Porcentaje máximo de disponibilidad y operación de los sistemas de información de la Secretaría General </v>
      </c>
      <c r="H83" s="56" t="s">
        <v>2030</v>
      </c>
      <c r="I83" s="56" t="s">
        <v>1030</v>
      </c>
      <c r="J83" s="262"/>
      <c r="K83" s="262"/>
      <c r="L83" s="262"/>
      <c r="M83" s="262"/>
      <c r="N83" s="262"/>
      <c r="O83" s="262"/>
    </row>
    <row r="84" spans="2:15" ht="48.75" customHeight="1" x14ac:dyDescent="0.3">
      <c r="B84" s="563"/>
      <c r="C84" s="612"/>
      <c r="D84" s="183">
        <f>+D83</f>
        <v>138</v>
      </c>
      <c r="E84" s="593"/>
      <c r="F84" s="69" t="str">
        <f>D83&amp;"_I1"</f>
        <v>138_I1</v>
      </c>
      <c r="G84" s="70" t="s">
        <v>1823</v>
      </c>
      <c r="H84" s="56" t="s">
        <v>2031</v>
      </c>
      <c r="I84" s="56" t="s">
        <v>2032</v>
      </c>
      <c r="J84" s="108" t="s">
        <v>2149</v>
      </c>
      <c r="K84" s="108" t="s">
        <v>2150</v>
      </c>
      <c r="L84" s="108" t="s">
        <v>2151</v>
      </c>
      <c r="M84" s="108" t="s">
        <v>2152</v>
      </c>
      <c r="N84" s="108" t="s">
        <v>2153</v>
      </c>
      <c r="O84" s="108" t="s">
        <v>2154</v>
      </c>
    </row>
    <row r="85" spans="2:15" ht="63" customHeight="1" x14ac:dyDescent="0.3">
      <c r="B85" s="563"/>
      <c r="C85" s="612"/>
      <c r="D85" s="183">
        <f>+D84</f>
        <v>138</v>
      </c>
      <c r="E85" s="593"/>
      <c r="F85" s="69" t="str">
        <f>D85&amp;"_I2"</f>
        <v>138_I2</v>
      </c>
      <c r="G85" s="70" t="s">
        <v>1824</v>
      </c>
      <c r="H85" s="56" t="s">
        <v>2031</v>
      </c>
      <c r="I85" s="56" t="s">
        <v>2038</v>
      </c>
      <c r="J85" s="108" t="s">
        <v>642</v>
      </c>
      <c r="K85" s="108" t="s">
        <v>642</v>
      </c>
      <c r="L85" s="108" t="s">
        <v>642</v>
      </c>
      <c r="M85" s="108" t="s">
        <v>642</v>
      </c>
      <c r="N85" s="108" t="s">
        <v>642</v>
      </c>
      <c r="O85" s="104" t="s">
        <v>642</v>
      </c>
    </row>
    <row r="86" spans="2:15" ht="61.5" customHeight="1" thickBot="1" x14ac:dyDescent="0.35">
      <c r="B86" s="609"/>
      <c r="C86" s="615"/>
      <c r="D86" s="183">
        <f>+D85</f>
        <v>138</v>
      </c>
      <c r="E86" s="610"/>
      <c r="F86" s="202" t="str">
        <f>D86&amp;"_I3"</f>
        <v>138_I3</v>
      </c>
      <c r="G86" s="203" t="s">
        <v>1825</v>
      </c>
      <c r="H86" s="204" t="s">
        <v>2031</v>
      </c>
      <c r="I86" s="204" t="s">
        <v>2042</v>
      </c>
      <c r="J86" s="289" t="s">
        <v>2155</v>
      </c>
      <c r="K86" s="289" t="s">
        <v>2156</v>
      </c>
      <c r="L86" s="289" t="s">
        <v>2157</v>
      </c>
      <c r="M86" s="289" t="s">
        <v>2158</v>
      </c>
      <c r="N86" s="289" t="s">
        <v>2159</v>
      </c>
      <c r="O86" s="405" t="s">
        <v>2160</v>
      </c>
    </row>
    <row r="87" spans="2:15" ht="25.5" customHeight="1" x14ac:dyDescent="0.3">
      <c r="B87" s="576" t="str">
        <f>+VLOOKUP(D87,bd,MATCH("Área o dependencia",bdfila,0),0)</f>
        <v>Oficina de Tecnologías de la Información y las Comunicaciones</v>
      </c>
      <c r="C87" s="611" t="str">
        <f>+VLOOKUP(D87,bd,MATCH("PROCESO: ",bdfila,0),0)</f>
        <v>Gestión, administración y soporte de infraestructura y recursos tecnológicos</v>
      </c>
      <c r="D87" s="442">
        <f>+D22</f>
        <v>145</v>
      </c>
      <c r="E87" s="604" t="str">
        <f>+VLOOKUP($D87,bd,MATCH(E$9,bdfila,0),0)</f>
        <v>Solucionar los incidentes o solicitudes de servicios informáticos en el tiempo establecido como política.</v>
      </c>
      <c r="F87" s="63" t="str">
        <f>D87&amp;"_V1"</f>
        <v>145_V1</v>
      </c>
      <c r="G87" s="64" t="str">
        <f>+VLOOKUP(D87,bd,MATCH(I87,BD_metas!$A$5:$DB$5,0),0)</f>
        <v xml:space="preserve">(Numero de incidentes o servicios informáticos que fueron solucionados en el tiempo establecido como política en el periodo ) </v>
      </c>
      <c r="H87" s="65" t="s">
        <v>2030</v>
      </c>
      <c r="I87" s="65" t="s">
        <v>1029</v>
      </c>
      <c r="J87" s="310">
        <v>1824</v>
      </c>
      <c r="K87" s="103">
        <v>2181</v>
      </c>
      <c r="L87" s="103">
        <v>1437</v>
      </c>
      <c r="M87" s="66">
        <v>586</v>
      </c>
      <c r="N87" s="66">
        <v>850</v>
      </c>
      <c r="O87" s="128">
        <v>999</v>
      </c>
    </row>
    <row r="88" spans="2:15" ht="25.5" customHeight="1" x14ac:dyDescent="0.3">
      <c r="B88" s="563"/>
      <c r="C88" s="612"/>
      <c r="D88" s="183">
        <f>+D87</f>
        <v>145</v>
      </c>
      <c r="E88" s="593"/>
      <c r="F88" s="69" t="str">
        <f>D88&amp;"_V2"</f>
        <v>145_V2</v>
      </c>
      <c r="G88" s="70" t="str">
        <f>+VLOOKUP(D88,bd,MATCH(I88,BD_metas!$A$5:$DB$5,0),0)</f>
        <v xml:space="preserve">(Numero total de incidentes o servicios informáticos diagnosticados -(Incidentes en espera+incidentes cuya categoría sea "NO son de nuestra competencia" o "No categorizadas" ) </v>
      </c>
      <c r="H88" s="56" t="s">
        <v>2030</v>
      </c>
      <c r="I88" s="56" t="s">
        <v>1030</v>
      </c>
      <c r="J88" s="104">
        <v>1978</v>
      </c>
      <c r="K88" s="104">
        <v>2270</v>
      </c>
      <c r="L88" s="104">
        <v>1521</v>
      </c>
      <c r="M88" s="50">
        <v>609</v>
      </c>
      <c r="N88" s="50">
        <v>900</v>
      </c>
      <c r="O88" s="71">
        <v>1088</v>
      </c>
    </row>
    <row r="89" spans="2:15" ht="78" customHeight="1" x14ac:dyDescent="0.3">
      <c r="B89" s="563"/>
      <c r="C89" s="612"/>
      <c r="D89" s="183">
        <f>+D88</f>
        <v>145</v>
      </c>
      <c r="E89" s="593"/>
      <c r="F89" s="69" t="str">
        <f>D88&amp;"_I1"</f>
        <v>145_I1</v>
      </c>
      <c r="G89" s="70" t="s">
        <v>1823</v>
      </c>
      <c r="H89" s="56" t="s">
        <v>2031</v>
      </c>
      <c r="I89" s="56" t="s">
        <v>2032</v>
      </c>
      <c r="J89" s="127" t="s">
        <v>2161</v>
      </c>
      <c r="K89" s="127" t="s">
        <v>2162</v>
      </c>
      <c r="L89" s="127" t="s">
        <v>2163</v>
      </c>
      <c r="M89" s="127" t="s">
        <v>2164</v>
      </c>
      <c r="N89" s="127" t="s">
        <v>2165</v>
      </c>
      <c r="O89" s="402" t="s">
        <v>2166</v>
      </c>
    </row>
    <row r="90" spans="2:15" ht="76.5" customHeight="1" x14ac:dyDescent="0.3">
      <c r="B90" s="563"/>
      <c r="C90" s="612"/>
      <c r="D90" s="183">
        <f>+D89</f>
        <v>145</v>
      </c>
      <c r="E90" s="593"/>
      <c r="F90" s="69" t="str">
        <f>D90&amp;"_I2"</f>
        <v>145_I2</v>
      </c>
      <c r="G90" s="70" t="s">
        <v>1824</v>
      </c>
      <c r="H90" s="56" t="s">
        <v>2031</v>
      </c>
      <c r="I90" s="56" t="s">
        <v>2038</v>
      </c>
      <c r="J90" s="264" t="s">
        <v>2167</v>
      </c>
      <c r="K90" s="104" t="s">
        <v>642</v>
      </c>
      <c r="L90" s="104" t="s">
        <v>642</v>
      </c>
      <c r="M90" s="104" t="s">
        <v>642</v>
      </c>
      <c r="N90" s="104" t="s">
        <v>642</v>
      </c>
      <c r="O90" s="264" t="s">
        <v>2168</v>
      </c>
    </row>
    <row r="91" spans="2:15" ht="102.75" customHeight="1" thickBot="1" x14ac:dyDescent="0.35">
      <c r="B91" s="564"/>
      <c r="C91" s="613"/>
      <c r="D91" s="184">
        <f>+D90</f>
        <v>145</v>
      </c>
      <c r="E91" s="594"/>
      <c r="F91" s="73" t="str">
        <f>D91&amp;"_I3"</f>
        <v>145_I3</v>
      </c>
      <c r="G91" s="74" t="s">
        <v>1825</v>
      </c>
      <c r="H91" s="57" t="s">
        <v>2031</v>
      </c>
      <c r="I91" s="57" t="s">
        <v>2042</v>
      </c>
      <c r="J91" s="265" t="s">
        <v>2169</v>
      </c>
      <c r="K91" s="265" t="s">
        <v>2170</v>
      </c>
      <c r="L91" s="265" t="s">
        <v>2171</v>
      </c>
      <c r="M91" s="265" t="s">
        <v>2172</v>
      </c>
      <c r="N91" s="265" t="s">
        <v>2173</v>
      </c>
      <c r="O91" s="403" t="s">
        <v>2174</v>
      </c>
    </row>
  </sheetData>
  <sheetProtection algorithmName="SHA-512" hashValue="XDRxof4MJIXIkDISNITh8/wJLn9RVCpNcbpbMhllT4obGarMPbuRzTnM8xnL9d7aSjX23hTSdQw8A4B07N7Ypg==" saltValue="lyJRC98JydsymlrFP4/lww==" spinCount="100000" sheet="1" formatColumns="0" formatRows="0"/>
  <protectedRanges>
    <protectedRange algorithmName="SHA-512" hashValue="s7rhpNesMtD+7mHDDUnPhzlZ760ZJmOP8/OxD07WAxCuzLlbnM1pNOHHyanfacX2JAMtai6hRyy7FzgzuXznZg==" saltValue="W7uhcPDZwB32KUbnm+ioCg==" spinCount="100000" sqref="O87:O91" name="Soporte Tic R2"/>
    <protectedRange algorithmName="SHA-512" hashValue="vq7Gbe+8+tSADNWe4orhz85B1XuSJCpOBAH1VhHZSdn5ry3bqDskkPDTN/BLvHd3FShgYJCQQmqN0fnNKe7gCg==" saltValue="jGyVeZc/m0uVYDZzWiTuyA==" spinCount="100000" sqref="O82:O86" name="E. Tic R2"/>
    <protectedRange algorithmName="SHA-512" hashValue="YX6npmbtWipgjOGXn72YbMGNpwg0uu27HfoVsjA3cuvAQvLqn5HKfc86qcc0iCmLsE5PYZMiNXt4IoRtK/pe8w==" saltValue="QzutuHq5WBkrR0v4jh7bJQ==" spinCount="100000" sqref="O57:O66" name="OCI R2"/>
    <protectedRange algorithmName="SHA-512" hashValue="bFI+QQPCNT2M6Vbgq7cL9r7eHCnIXOmjgdlfrE4gv94PvcweYF48+Zus3EW/grHxoVuRt4GApZuB3oG4MXHF8A==" saltValue="UgDHCxwD0vS6YIo1oJJ8hA==" spinCount="100000" sqref="O37:O56" name="Juridica R2"/>
    <protectedRange algorithmName="SHA-512" hashValue="EBIZgDURLohMFkS25VfCd8uNw54w7s1EBA/BHhYrVnsFeCvqMfPv2baZr/6Ep4suLicTIVp6VZSFVJnjwoqOcw==" saltValue="jNhzPFMn3Cb0ANJEfK7fiw==" spinCount="100000" sqref="O32:O36" name="Dir. Estrategico R2"/>
    <protectedRange algorithmName="SHA-512" hashValue="TaKDlBMNJC0zDZ+BB7PUB9+AYYfx5in/XCF1495KajSWH2sxy+v0baPQESlTwhHM3W93jN6casRyir1iqa4mRw==" saltValue="fs6SCXYbX9t8XlAhwqvDSA==" spinCount="100000" sqref="J18:O19 Q18:Q19 S18:V19 J67:N76" name="Disciplinario R1"/>
    <protectedRange algorithmName="SHA-512" hashValue="SsSlb46vYKhEZu4Fojt1Z9BXIyH7trVddpfGdAp5zAGXskTeSZLv6ee69zqEkvp72mKAsR9MmaxBuVVnGUSLIA==" saltValue="kW9dmjX+ho5Ywwp+cO+O9A==" spinCount="100000" sqref="J21:O21 Q21 S21:V21 J82:N86" name="E. Tic R1"/>
    <protectedRange algorithmName="SHA-512" hashValue="e3i4Q9U2jw5R+yNr4igNd9/ONT1R6AAeBeR2c7WAJNms4/oGxls9YTTBWsSuCLoZKtAw1ciRShQdRLKDp+EsmA==" saltValue="zuQ5/fCm/d0uPRcaT1+NHA==" spinCount="100000" sqref="J16:O17 Q16:Q17 S16:V17 J57:N66" name="OCI R1"/>
    <protectedRange algorithmName="SHA-512" hashValue="cehPHItA1T12qZiYnY2tpksrUEAefxfxkgypfpb3nCWlEmONgniabAgv/6UNYhobCF5iwauQ4x8S99duZyxmaw==" saltValue="VmN7NDUdkyjRxqSYk6ESFg==" spinCount="100000" sqref="J11:O11 Q11 S11:V11 J32:N36" name="Dir. Estratégico R1"/>
    <protectedRange algorithmName="SHA-512" hashValue="SJLS3sbfXugDeCrWt+GE7kJcPZITy6SHkWr9gGbqj/v/7+TtX8i6UspG5pV/B+jiXSL2nNORs7dE5oro4Od9UA==" saltValue="4NkOPWpz3956E6AErr2irw==" spinCount="100000" sqref="J12:O15 Q12:Q15 S12:V15 J37:N56" name="Juridica R1"/>
    <protectedRange algorithmName="SHA-512" hashValue="iDznIY72N7nOvHpdzvTqfMyzfULEldD0SYrRqPPPGYBiDYWd7Wc5YEUgM0dPq12WXnB3LSzLFgazhTJytymqgw==" saltValue="SZXqdBcc4LCjjm5M0NeBVQ==" spinCount="100000" sqref="J20:O20 Q20 S20:V20 J77:N81" name="Protocolo R1"/>
    <protectedRange algorithmName="SHA-512" hashValue="y15ofpkQVgdIwKtOq2cRxZeRJyWwxrLpGlL9jAg/U+OwLcrPH+Gl5F2cil4qJkBUWRSNsvUsShsTkD8e8Frqnw==" saltValue="ePu4czJ7tEDhYqvzmmZ/ew==" spinCount="100000" sqref="J22:O22 Q22 S22:V22 J87:N91" name="Soporte Tic R1"/>
    <protectedRange algorithmName="SHA-512" hashValue="uzXlkpB4rFXvJzv4mfsItzngrn4fU1OXILNZ9umKuUw/L0POhs4jzpk5k59GzbzHtV591rQZA1YmyHE/Ufibhw==" saltValue="fT+8mqi6YKZ/hwTvbgj+nA==" spinCount="100000" sqref="O67:O76" name="Disciplinario R2"/>
  </protectedRanges>
  <mergeCells count="67">
    <mergeCell ref="B87:B91"/>
    <mergeCell ref="E87:E91"/>
    <mergeCell ref="C27:C31"/>
    <mergeCell ref="C32:C36"/>
    <mergeCell ref="C37:C41"/>
    <mergeCell ref="C42:C46"/>
    <mergeCell ref="C47:C51"/>
    <mergeCell ref="C52:C56"/>
    <mergeCell ref="C57:C61"/>
    <mergeCell ref="C62:C66"/>
    <mergeCell ref="C67:C71"/>
    <mergeCell ref="C72:C76"/>
    <mergeCell ref="C77:C81"/>
    <mergeCell ref="C82:C86"/>
    <mergeCell ref="C87:C91"/>
    <mergeCell ref="B72:B76"/>
    <mergeCell ref="E72:E76"/>
    <mergeCell ref="B77:B81"/>
    <mergeCell ref="E77:E81"/>
    <mergeCell ref="B82:B86"/>
    <mergeCell ref="E82:E86"/>
    <mergeCell ref="B57:B61"/>
    <mergeCell ref="E57:E61"/>
    <mergeCell ref="B62:B66"/>
    <mergeCell ref="E62:E66"/>
    <mergeCell ref="B67:B71"/>
    <mergeCell ref="E67:E71"/>
    <mergeCell ref="B7:D7"/>
    <mergeCell ref="B1:G1"/>
    <mergeCell ref="B2:G2"/>
    <mergeCell ref="J25:O25"/>
    <mergeCell ref="B37:B41"/>
    <mergeCell ref="E37:E41"/>
    <mergeCell ref="B27:B31"/>
    <mergeCell ref="E27:E31"/>
    <mergeCell ref="B32:B36"/>
    <mergeCell ref="E32:E36"/>
    <mergeCell ref="B25:D25"/>
    <mergeCell ref="B8:D8"/>
    <mergeCell ref="F16:G16"/>
    <mergeCell ref="F15:G15"/>
    <mergeCell ref="B12:B15"/>
    <mergeCell ref="F12:G12"/>
    <mergeCell ref="S8:V8"/>
    <mergeCell ref="F9:G9"/>
    <mergeCell ref="B10:B11"/>
    <mergeCell ref="F10:G10"/>
    <mergeCell ref="F11:G11"/>
    <mergeCell ref="J8:O8"/>
    <mergeCell ref="F13:G13"/>
    <mergeCell ref="F14:G14"/>
    <mergeCell ref="B16:B17"/>
    <mergeCell ref="F17:G17"/>
    <mergeCell ref="F18:G18"/>
    <mergeCell ref="F19:G19"/>
    <mergeCell ref="B21:B22"/>
    <mergeCell ref="F20:G20"/>
    <mergeCell ref="F21:G21"/>
    <mergeCell ref="F22:G22"/>
    <mergeCell ref="B47:B51"/>
    <mergeCell ref="E47:E51"/>
    <mergeCell ref="B52:B56"/>
    <mergeCell ref="E52:E56"/>
    <mergeCell ref="B18:B19"/>
    <mergeCell ref="B24:D24"/>
    <mergeCell ref="B42:B46"/>
    <mergeCell ref="E42:E46"/>
  </mergeCells>
  <dataValidations count="27">
    <dataValidation allowBlank="1" showInputMessage="1" showErrorMessage="1" prompt="Redacte el avance en la gestión del indicador para cada uno de los meses correspondientes a la fecha de corte del reporte" sqref="J29:O29 J34:O34 J39:O39 J44:O44 J49:O49 J54:O54 J59:O59 J64:O64 J69:O69 J74:O74 J79:O79 J84:O84 J89:O89" xr:uid="{00000000-0002-0000-0A00-000000000000}"/>
    <dataValidation allowBlank="1" showInputMessage="1" showErrorMessage="1" prompt="Diligencie la magnitud de la variable 2 del indicador para cada uno de los meses correspondientes a la fecha de corte del reporte. Este campo aplica unicamente para los indicadores que tienen variable 2." sqref="J28:O28 J33:O33 J38:O38 J43:O43 J48:O48 J53:O53 J58:O58 J63:O63 J68:O68 J73:O73 J78:O78 J83:O83 J88:O88" xr:uid="{00000000-0002-0000-0A00-000001000000}"/>
    <dataValidation allowBlank="1" showInputMessage="1" showErrorMessage="1" prompt="Diligencie la magnitud de la variable 1 del indicador para cada uno de los meses correspondientes a la fecha de corte del reporte" sqref="J27:O27 J32:O32 J37:O37 J42:O42 J47:O47 J52:O52 J57:O57 J62:O62 J67:O67 J72:O72 J77:O77 J82:O82 J87:O87" xr:uid="{00000000-0002-0000-0A00-000002000000}"/>
    <dataValidation allowBlank="1" showInputMessage="1" showErrorMessage="1" prompt="Corresponde al funcionario encargado de realizar el seguimiento del Proyecto de Inversión" sqref="D5:G5" xr:uid="{00000000-0002-0000-0A00-000003000000}"/>
    <dataValidation allowBlank="1" showInputMessage="1" showErrorMessage="1" prompt="Corresponde al nombre del funcionario que ejerce la Gerencia del Proyecto de Inversión" sqref="D4:G4" xr:uid="{00000000-0002-0000-0A00-000004000000}"/>
    <dataValidation allowBlank="1" showInputMessage="1" showErrorMessage="1" prompt="Corresponde al nombre del Proyecto de Inversión" sqref="D3:G3" xr:uid="{00000000-0002-0000-0A00-000005000000}"/>
    <dataValidation allowBlank="1" showInputMessage="1" showErrorMessage="1" prompt="Diligencie la información más actualizada del indicador. En el caso que el proyecto lo requiera: se debe completar, ampliar o modificar la Descripción, las Actividades, los Beneficios y las Fuentes de Verificación que actualmente sea asocian al indicador." sqref="S10:V22" xr:uid="{00000000-0002-0000-0A00-000006000000}"/>
    <dataValidation allowBlank="1" showInputMessage="1" showErrorMessage="1" prompt="Sólo aplica para los indicadores que cumplan estas dos condiciones: 1) Tendencia Anual = Constante o Creciente. 2) Tendencia Mensual = Suma._x000a_Corresponde a la sumatoria de las magnitudes mensuales programadas para la vigencia." sqref="R10:R22" xr:uid="{00000000-0002-0000-0A00-000007000000}"/>
    <dataValidation allowBlank="1" showInputMessage="1" showErrorMessage="1" prompt="Corresponde a la Meta Programada para el 2020" sqref="P10:P22" xr:uid="{00000000-0002-0000-0A00-000008000000}"/>
    <dataValidation allowBlank="1" showInputMessage="1" showErrorMessage="1" prompt="Programe la magnitud de la Meta para cada uno de los meses, tenga en cuenta la Meta total programada para la vigencia, asi como la tendencia y la unidad de medida" sqref="J10:O22" xr:uid="{00000000-0002-0000-0A00-000009000000}"/>
    <dataValidation allowBlank="1" showInputMessage="1" showErrorMessage="1" prompt="Corresponde a la unidad de medida del indicador" sqref="I10:I22" xr:uid="{00000000-0002-0000-0A00-00000A000000}"/>
    <dataValidation allowBlank="1" showInputMessage="1" showErrorMessage="1" prompt="Corresponde a la tendencia anual del indicador" sqref="H10:H22" xr:uid="{00000000-0002-0000-0A00-00000B000000}"/>
    <dataValidation allowBlank="1" showInputMessage="1" showErrorMessage="1" prompt="Corresponde a los nombres de los indicadores del Proyecto de Inversión" sqref="F10:G22" xr:uid="{00000000-0002-0000-0A00-00000C000000}"/>
    <dataValidation allowBlank="1" showInputMessage="1" showErrorMessage="1" prompt="Corresponde a las metas del Proyecto de Inversión" sqref="E10:E22" xr:uid="{00000000-0002-0000-0A00-00000D000000}"/>
    <dataValidation type="list" allowBlank="1" showInputMessage="1" showErrorMessage="1" prompt="Corresponde a los ID de los indicadores del Proyecto de Inversión" sqref="D11" xr:uid="{00000000-0002-0000-0A00-00000E000000}">
      <formula1>INDIRECT($A$10)</formula1>
    </dataValidation>
    <dataValidation type="list" allowBlank="1" showInputMessage="1" showErrorMessage="1" prompt="Seleccione de la lista desplegable la Tendencia Mensual de la Meta. Para esto tenga en cuenta la evolución MENSUAL de la meta programada. Las opciones disponibles son: Constante, Creciente, Suma, Decreciente." sqref="Q10:Q22" xr:uid="{00000000-0002-0000-0A00-00000F000000}">
      <formula1>"Constante,Creciente,Decreciente,Suma"</formula1>
    </dataValidation>
    <dataValidation allowBlank="1" showInputMessage="1" showErrorMessage="1" prompt="Corresponde a la clasificación de la variable que se reporta." sqref="I27:I91" xr:uid="{00000000-0002-0000-0A00-000010000000}"/>
    <dataValidation allowBlank="1" showInputMessage="1" showErrorMessage="1" prompt="Corresponde al código de la variable que se reporta. Se compone del ID del Indicador y el denotativo de la Variable (V1, V2, I1, I2, I3)" sqref="F27:F91" xr:uid="{00000000-0002-0000-0A00-000011000000}"/>
    <dataValidation allowBlank="1" showInputMessage="1" showErrorMessage="1" prompt="Redacte los beneficios, logros y resultados del indicador para cada uno de los meses correspondientes a la fecha de corte del reporte" sqref="J31:O31 J36:O36 J41:O41 J46:O46 J51:O51 J56:O56 J61:O61 J66:O66 J71:O71 J76:O76 J81:O81 J86:O86 J91:O91" xr:uid="{00000000-0002-0000-0A00-000012000000}"/>
    <dataValidation allowBlank="1" showInputMessage="1" showErrorMessage="1" prompt="Redacte las dificultades o retrasos, y soluciones propuestas del indicador para cada uno de los meses correspondientes a la fecha de corte del reporte" sqref="J30:O30 J35:O35 J40:O40 J45:O45 J50:O50 J55:O55 J60:O60 J65:O65 J70:O70 J75:O75 J80:O80 J85:O85 J90:O90" xr:uid="{00000000-0002-0000-0A00-000013000000}"/>
    <dataValidation type="list" allowBlank="1" showInputMessage="1" showErrorMessage="1" prompt="Corresponde a la(s) dependencia(s) asociada(s) al Proyecto de Inversión" sqref="B18 B20:B21 B10:B16" xr:uid="{00000000-0002-0000-0A00-000014000000}">
      <formula1>dependencia</formula1>
    </dataValidation>
    <dataValidation type="list" allowBlank="1" showInputMessage="1" showErrorMessage="1" prompt="Corresponde a los ID de los indicadores del Proyecto de Inversión" sqref="D10" xr:uid="{00000000-0002-0000-0A00-000015000000}">
      <formula1>INDIRECT(A10)</formula1>
    </dataValidation>
    <dataValidation type="list" allowBlank="1" showInputMessage="1" showErrorMessage="1" prompt="Corresponde a los ID de los indicadores del Proyecto de Inversión" sqref="D12:D15" xr:uid="{00000000-0002-0000-0A00-000016000000}">
      <formula1>INDIRECT($A$12)</formula1>
    </dataValidation>
    <dataValidation type="list" allowBlank="1" showInputMessage="1" showErrorMessage="1" prompt="Corresponde a los ID de los indicadores del Proyecto de Inversión" sqref="D16:D17" xr:uid="{00000000-0002-0000-0A00-000017000000}">
      <formula1>INDIRECT($A$16)</formula1>
    </dataValidation>
    <dataValidation type="list" allowBlank="1" showInputMessage="1" showErrorMessage="1" prompt="Corresponde a los ID de los indicadores del Proyecto de Inversión" sqref="D18:D19" xr:uid="{00000000-0002-0000-0A00-000018000000}">
      <formula1>INDIRECT($A$18)</formula1>
    </dataValidation>
    <dataValidation type="list" allowBlank="1" showInputMessage="1" showErrorMessage="1" prompt="Corresponde a los ID de los indicadores del Proyecto de Inversión" sqref="D20" xr:uid="{00000000-0002-0000-0A00-000019000000}">
      <formula1>INDIRECT($A$20)</formula1>
    </dataValidation>
    <dataValidation type="list" allowBlank="1" showInputMessage="1" showErrorMessage="1" prompt="Corresponde a los ID de los indicadores del Proyecto de Inversión" sqref="D21:D22" xr:uid="{00000000-0002-0000-0A00-00001A000000}">
      <formula1>INDIRECT($A$21)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1B000000}">
          <x14:formula1>
            <xm:f>Listas!$A$4:$A$18</xm:f>
          </x14:formula1>
          <xm:sqref>B37 B32 B42 B47 B52 B57 B62 B67 B72 B77 B82 B87 B27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dimension ref="A1:V61"/>
  <sheetViews>
    <sheetView showGridLines="0" topLeftCell="H47" zoomScale="70" zoomScaleNormal="70" workbookViewId="0">
      <selection activeCell="H56" sqref="H56"/>
    </sheetView>
  </sheetViews>
  <sheetFormatPr baseColWidth="10" defaultColWidth="11.5546875" defaultRowHeight="14.4" x14ac:dyDescent="0.3"/>
  <cols>
    <col min="1" max="1" width="4.6640625" style="15" customWidth="1"/>
    <col min="2" max="3" width="29.109375" style="15" customWidth="1"/>
    <col min="4" max="4" width="11.5546875" style="15"/>
    <col min="5" max="5" width="47" style="15" customWidth="1"/>
    <col min="6" max="6" width="17.33203125" style="15" customWidth="1"/>
    <col min="7" max="7" width="37.109375" style="15" customWidth="1"/>
    <col min="8" max="8" width="20.109375" style="15" customWidth="1"/>
    <col min="9" max="9" width="27.6640625" style="15" customWidth="1"/>
    <col min="10" max="10" width="30.44140625" style="15" customWidth="1"/>
    <col min="11" max="11" width="33.88671875" style="15" customWidth="1"/>
    <col min="12" max="12" width="42.6640625" style="15" customWidth="1"/>
    <col min="13" max="13" width="45.44140625" style="15" customWidth="1"/>
    <col min="14" max="14" width="37.6640625" style="15" customWidth="1"/>
    <col min="15" max="15" width="31.109375" style="15" customWidth="1"/>
    <col min="16" max="16" width="16.44140625" style="15" customWidth="1"/>
    <col min="17" max="17" width="20.44140625" style="15" customWidth="1"/>
    <col min="18" max="18" width="21.109375" style="15" customWidth="1"/>
    <col min="19" max="19" width="37.33203125" style="15" customWidth="1"/>
    <col min="20" max="20" width="54.33203125" style="15" customWidth="1"/>
    <col min="21" max="21" width="43.109375" style="15" customWidth="1"/>
    <col min="22" max="22" width="61.5546875" style="15" customWidth="1"/>
    <col min="23" max="16384" width="11.5546875" style="15"/>
  </cols>
  <sheetData>
    <row r="1" spans="1:22" ht="23.4" x14ac:dyDescent="0.45">
      <c r="B1" s="579" t="s">
        <v>2004</v>
      </c>
      <c r="C1" s="603"/>
      <c r="D1" s="580"/>
      <c r="E1" s="580"/>
      <c r="F1" s="580"/>
      <c r="G1" s="581"/>
    </row>
    <row r="2" spans="1:22" ht="18.75" customHeight="1" x14ac:dyDescent="0.3">
      <c r="B2" s="582" t="s">
        <v>10</v>
      </c>
      <c r="C2" s="583"/>
      <c r="D2" s="583"/>
      <c r="E2" s="583"/>
      <c r="F2" s="583"/>
      <c r="G2" s="584"/>
    </row>
    <row r="6" spans="1:22" ht="15" thickBot="1" x14ac:dyDescent="0.35"/>
    <row r="7" spans="1:22" ht="18.600000000000001" thickBot="1" x14ac:dyDescent="0.4">
      <c r="B7" s="577" t="s">
        <v>2006</v>
      </c>
      <c r="C7" s="602"/>
      <c r="D7" s="578"/>
    </row>
    <row r="8" spans="1:22" ht="15" thickBot="1" x14ac:dyDescent="0.35">
      <c r="B8" s="606" t="s">
        <v>2007</v>
      </c>
      <c r="C8" s="607"/>
      <c r="D8" s="608"/>
      <c r="J8" s="597" t="s">
        <v>2008</v>
      </c>
      <c r="K8" s="598"/>
      <c r="L8" s="598"/>
      <c r="M8" s="598"/>
      <c r="N8" s="598"/>
      <c r="O8" s="599"/>
      <c r="S8" s="597" t="s">
        <v>2009</v>
      </c>
      <c r="T8" s="598"/>
      <c r="U8" s="598"/>
      <c r="V8" s="599"/>
    </row>
    <row r="9" spans="1:22" ht="31.95" customHeight="1" x14ac:dyDescent="0.3">
      <c r="B9" s="48" t="s">
        <v>1868</v>
      </c>
      <c r="C9" s="180" t="s">
        <v>2073</v>
      </c>
      <c r="D9" s="49" t="s">
        <v>2010</v>
      </c>
      <c r="E9" s="438" t="s">
        <v>1792</v>
      </c>
      <c r="F9" s="620" t="s">
        <v>541</v>
      </c>
      <c r="G9" s="620"/>
      <c r="H9" s="438" t="s">
        <v>544</v>
      </c>
      <c r="I9" s="438" t="s">
        <v>413</v>
      </c>
      <c r="J9" s="438" t="s">
        <v>419</v>
      </c>
      <c r="K9" s="438" t="s">
        <v>420</v>
      </c>
      <c r="L9" s="438" t="s">
        <v>421</v>
      </c>
      <c r="M9" s="438" t="s">
        <v>422</v>
      </c>
      <c r="N9" s="438" t="s">
        <v>423</v>
      </c>
      <c r="O9" s="436" t="s">
        <v>424</v>
      </c>
      <c r="P9" s="438" t="s">
        <v>425</v>
      </c>
      <c r="Q9" s="438" t="s">
        <v>416</v>
      </c>
      <c r="R9" s="438" t="s">
        <v>417</v>
      </c>
      <c r="S9" s="438" t="s">
        <v>426</v>
      </c>
      <c r="T9" s="438" t="s">
        <v>427</v>
      </c>
      <c r="U9" s="438" t="s">
        <v>428</v>
      </c>
      <c r="V9" s="186" t="s">
        <v>429</v>
      </c>
    </row>
    <row r="10" spans="1:22" ht="81.599999999999994" hidden="1" x14ac:dyDescent="0.3">
      <c r="A10" s="92" t="str">
        <f t="shared" ref="A10:A17" si="0">+VLOOKUP(B10,responsables,8,0)</f>
        <v>ati</v>
      </c>
      <c r="B10" s="619" t="s">
        <v>70</v>
      </c>
      <c r="C10" s="79" t="str">
        <f t="shared" ref="C10:C17" si="1">+VLOOKUP(D10,bd,MATCH("PROCESO: ",bdfila,0),0)</f>
        <v>No Aplica</v>
      </c>
      <c r="D10" s="432" t="s">
        <v>349</v>
      </c>
      <c r="E10" s="432" t="str">
        <f t="shared" ref="E10:I17" si="2">+VLOOKUP($D10,bd,MATCH(E$9,bdfila,0),0)</f>
        <v>Ejecutar el Plan de asistencia técnica, para la implementación del ERP Distrital</v>
      </c>
      <c r="F10" s="566" t="str">
        <f>+VLOOKUP($D10,bd,MATCH(F$9,bdfila,0),0)</f>
        <v>[ELIMINADO] Plan de asistencia técnica, para la implementación del ERP Distrital, ejecutado</v>
      </c>
      <c r="G10" s="566"/>
      <c r="H10" s="432" t="str">
        <f t="shared" si="2"/>
        <v>Creciente</v>
      </c>
      <c r="I10" s="432" t="str">
        <f t="shared" si="2"/>
        <v>Porcentaje</v>
      </c>
      <c r="J10" s="266">
        <v>4.0000000000000001E-3</v>
      </c>
      <c r="K10" s="266">
        <v>3.98E-3</v>
      </c>
      <c r="L10" s="266">
        <v>3.98E-3</v>
      </c>
      <c r="M10" s="266">
        <v>3.98E-3</v>
      </c>
      <c r="N10" s="266">
        <v>3.98E-3</v>
      </c>
      <c r="O10" s="266">
        <v>3.98E-3</v>
      </c>
      <c r="P10" s="51">
        <f t="shared" ref="P10:P17" si="3">+VLOOKUP($D10,bd,MATCH(P$9,bdfila,0),0)</f>
        <v>30</v>
      </c>
      <c r="Q10" s="50" t="s">
        <v>638</v>
      </c>
      <c r="R10" s="52">
        <f t="shared" ref="R10:R17" si="4">+IF(Q10="Suma",SUM(J10:O10),"")</f>
        <v>2.3900000000000005E-2</v>
      </c>
      <c r="S10" s="93" t="str">
        <f>+VLOOKUP($D10,bd,MATCH(S$9,BD_metas!$A$5:$DB$5,0),0)</f>
        <v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v>
      </c>
      <c r="T10" s="267" t="s">
        <v>663</v>
      </c>
      <c r="U10" s="267" t="s">
        <v>2175</v>
      </c>
      <c r="V10" s="267" t="s">
        <v>2176</v>
      </c>
    </row>
    <row r="11" spans="1:22" ht="51" hidden="1" x14ac:dyDescent="0.3">
      <c r="A11" s="92"/>
      <c r="B11" s="565"/>
      <c r="C11" s="79" t="str">
        <f t="shared" si="1"/>
        <v>No Aplica</v>
      </c>
      <c r="D11" s="432" t="s">
        <v>350</v>
      </c>
      <c r="E11" s="432" t="str">
        <f t="shared" si="2"/>
        <v>1.1.10 Conjunto de datos de las entidades distritales publicados en el portal de datos abiertos</v>
      </c>
      <c r="F11" s="566" t="str">
        <f>+VLOOKUP($D11,bd,MATCH(F$9,bdfila,0),0)</f>
        <v>[ELIMINADO] Datos publicados en el portal de datos abiertos</v>
      </c>
      <c r="G11" s="566"/>
      <c r="H11" s="432" t="str">
        <f t="shared" si="2"/>
        <v>Creciente</v>
      </c>
      <c r="I11" s="432" t="str">
        <f t="shared" si="2"/>
        <v>Número</v>
      </c>
      <c r="J11" s="104"/>
      <c r="K11" s="108"/>
      <c r="L11" s="104">
        <v>8</v>
      </c>
      <c r="M11" s="104"/>
      <c r="N11" s="104"/>
      <c r="O11" s="104">
        <v>8</v>
      </c>
      <c r="P11" s="51">
        <f t="shared" si="3"/>
        <v>69</v>
      </c>
      <c r="Q11" s="50" t="s">
        <v>638</v>
      </c>
      <c r="R11" s="52">
        <f t="shared" ref="R11" si="5">+IF(Q11="Suma",SUM(J11:O11),"")</f>
        <v>16</v>
      </c>
      <c r="S11" s="93" t="str">
        <f>+VLOOKUP($D11,bd,MATCH(S$9,BD_metas!$A$5:$DB$5,0),0)</f>
        <v xml:space="preserve">Este indicador se encarga de la medición de la cantidad de datasets publicados en el portal de datos abiertos de Bogotá datosabiertos.bogota.gov.co, esta medición se realiza basados en las ordenanzas que estipula la Ley 1712 del 6 de marzo de 2014 </v>
      </c>
      <c r="T11" s="267" t="s">
        <v>663</v>
      </c>
      <c r="U11" s="267" t="s">
        <v>2177</v>
      </c>
      <c r="V11" s="268" t="s">
        <v>2178</v>
      </c>
    </row>
    <row r="12" spans="1:22" ht="43.95" customHeight="1" x14ac:dyDescent="0.3">
      <c r="A12" s="92" t="str">
        <f t="shared" si="0"/>
        <v>oav</v>
      </c>
      <c r="B12" s="566" t="s">
        <v>146</v>
      </c>
      <c r="C12" s="79" t="str">
        <f t="shared" si="1"/>
        <v>Asistencia, atención y reparación integral a víctimas del conflicto armado e implementación de acciones de memoria, paz y reconciliación en Bogotá</v>
      </c>
      <c r="D12" s="432" t="s">
        <v>351</v>
      </c>
      <c r="E12" s="432" t="str">
        <f t="shared" si="2"/>
        <v xml:space="preserve">1.1.21 Garantías e incentivos para la Participación Efectiva de las Víctimas del Conflicto Armado en Bogotá  </v>
      </c>
      <c r="F12" s="566" t="str">
        <f>+VLOOKUP($D12,bd,MATCH(F$9,bdfila,0),0)</f>
        <v>Porcentaje de garantías cumplidas</v>
      </c>
      <c r="G12" s="566"/>
      <c r="H12" s="432" t="str">
        <f t="shared" si="2"/>
        <v>Constante</v>
      </c>
      <c r="I12" s="432" t="str">
        <f t="shared" si="2"/>
        <v>Porcentaje</v>
      </c>
      <c r="J12" s="50">
        <v>100</v>
      </c>
      <c r="K12" s="50">
        <v>100</v>
      </c>
      <c r="L12" s="50">
        <v>100</v>
      </c>
      <c r="M12" s="50">
        <v>100</v>
      </c>
      <c r="N12" s="50">
        <v>100</v>
      </c>
      <c r="O12" s="50">
        <v>0</v>
      </c>
      <c r="P12" s="51">
        <f t="shared" si="3"/>
        <v>100</v>
      </c>
      <c r="Q12" s="50" t="s">
        <v>601</v>
      </c>
      <c r="R12" s="52" t="str">
        <f t="shared" si="4"/>
        <v/>
      </c>
      <c r="S12" s="93" t="str">
        <f>+VLOOKUP($D12,bd,MATCH(S$9,BD_metas!$A$5:$DB$5,0),0)</f>
        <v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v>
      </c>
      <c r="T12" s="276" t="s">
        <v>2179</v>
      </c>
      <c r="U12" s="93" t="str">
        <f>+VLOOKUP($D12,bd,MATCH(U$9,BD_metas!$A$5:$DB$5,0),0)</f>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
      <c r="V12" s="93" t="s">
        <v>2180</v>
      </c>
    </row>
    <row r="13" spans="1:22" ht="43.95" customHeight="1" x14ac:dyDescent="0.3">
      <c r="A13" s="92" t="e">
        <f t="shared" si="0"/>
        <v>#N/A</v>
      </c>
      <c r="B13" s="566"/>
      <c r="C13" s="79" t="str">
        <f t="shared" si="1"/>
        <v>Asistencia, atención y reparación integral a víctimas del conflicto armado e implementación de acciones de memoria, paz y reconciliación en Bogotá</v>
      </c>
      <c r="D13" s="432" t="s">
        <v>354</v>
      </c>
      <c r="E13" s="432" t="str">
        <f t="shared" si="2"/>
        <v xml:space="preserve">1.1.26 Sistema de información para consulta de avances en la ejecución del Plan de Acción Distrital para la Atención y la Reparación  Integral a las Víctimas que incorpore las variables que den cuenta del enfoque poblacional diferencial </v>
      </c>
      <c r="F13" s="566" t="str">
        <f t="shared" si="2"/>
        <v>Porcentaje de avance en la mejora del Sistema de Información de seguimiento al Plan de Acción Distrital</v>
      </c>
      <c r="G13" s="566"/>
      <c r="H13" s="432" t="str">
        <f t="shared" si="2"/>
        <v>Creciente</v>
      </c>
      <c r="I13" s="432" t="str">
        <f t="shared" si="2"/>
        <v>Porcentaje</v>
      </c>
      <c r="J13" s="50">
        <v>100</v>
      </c>
      <c r="K13" s="50">
        <v>100</v>
      </c>
      <c r="L13" s="50">
        <v>100</v>
      </c>
      <c r="M13" s="50">
        <v>100</v>
      </c>
      <c r="N13" s="50">
        <v>100</v>
      </c>
      <c r="O13" s="50">
        <v>0</v>
      </c>
      <c r="P13" s="51">
        <f t="shared" si="3"/>
        <v>100</v>
      </c>
      <c r="Q13" s="50" t="s">
        <v>601</v>
      </c>
      <c r="R13" s="52" t="str">
        <f t="shared" si="4"/>
        <v/>
      </c>
      <c r="S13" s="93" t="str">
        <f>+VLOOKUP($D13,bd,MATCH(S$9,BD_metas!$A$5:$DB$5,0),0)</f>
        <v>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v>
      </c>
      <c r="T13" s="276" t="s">
        <v>2181</v>
      </c>
      <c r="U13" s="93" t="str">
        <f>+VLOOKUP($D13,bd,MATCH(U$9,BD_metas!$A$5:$DB$5,0),0)</f>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
      <c r="V13" s="93" t="s">
        <v>1380</v>
      </c>
    </row>
    <row r="14" spans="1:22" ht="43.95" customHeight="1" x14ac:dyDescent="0.3">
      <c r="A14" s="92" t="e">
        <f t="shared" si="0"/>
        <v>#N/A</v>
      </c>
      <c r="B14" s="566"/>
      <c r="C14" s="79" t="str">
        <f t="shared" si="1"/>
        <v>Asistencia, atención y reparación integral a víctimas del conflicto armado e implementación de acciones de memoria, paz y reconciliación en Bogotá</v>
      </c>
      <c r="D14" s="432" t="s">
        <v>355</v>
      </c>
      <c r="E14" s="432" t="str">
        <f t="shared" si="2"/>
        <v>1.1.28 Uso de mecanismos de consulta para la acreditación de personas en el Registro Único de Víctimas</v>
      </c>
      <c r="F14" s="566" t="str">
        <f t="shared" si="2"/>
        <v>Porcentaje de entidades del SDARIV con metas vigentes en el PAD con mecanismos de acreditación en el RUV implementados</v>
      </c>
      <c r="G14" s="566"/>
      <c r="H14" s="432" t="str">
        <f t="shared" si="2"/>
        <v>Constante</v>
      </c>
      <c r="I14" s="432" t="str">
        <f t="shared" si="2"/>
        <v>Porcentaje</v>
      </c>
      <c r="J14" s="50">
        <v>100</v>
      </c>
      <c r="K14" s="50">
        <v>100</v>
      </c>
      <c r="L14" s="50">
        <v>100</v>
      </c>
      <c r="M14" s="50">
        <v>100</v>
      </c>
      <c r="N14" s="50">
        <v>100</v>
      </c>
      <c r="O14" s="50">
        <v>0</v>
      </c>
      <c r="P14" s="51">
        <f t="shared" si="3"/>
        <v>100</v>
      </c>
      <c r="Q14" s="50" t="s">
        <v>601</v>
      </c>
      <c r="R14" s="52" t="str">
        <f t="shared" si="4"/>
        <v/>
      </c>
      <c r="S14" s="93" t="str">
        <f>+VLOOKUP($D14,bd,MATCH(S$9,BD_metas!$A$5:$DB$5,0),0)</f>
        <v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v>
      </c>
      <c r="T14" s="276" t="s">
        <v>2182</v>
      </c>
      <c r="U14" s="93" t="str">
        <f>+VLOOKUP($D14,bd,MATCH(U$9,BD_metas!$A$5:$DB$5,0),0)</f>
        <v>Permite el acceso a información consolidada de los diferentes sistemas de las entidades del SNARIV y  los marcos normativos que conforman el RUV (SIPOD, SIV, SIRAV y LEY 1448 de 2011), con las restricciones de seguridad y confidencialidad de la información.</v>
      </c>
      <c r="V14" s="93" t="s">
        <v>1390</v>
      </c>
    </row>
    <row r="15" spans="1:22" ht="43.95" customHeight="1" x14ac:dyDescent="0.3">
      <c r="A15" s="92" t="e">
        <f t="shared" si="0"/>
        <v>#N/A</v>
      </c>
      <c r="B15" s="566"/>
      <c r="C15" s="79" t="str">
        <f t="shared" si="1"/>
        <v>Asistencia, atención y reparación integral a víctimas del conflicto armado e implementación de acciones de memoria, paz y reconciliación en Bogotá</v>
      </c>
      <c r="D15" s="432" t="s">
        <v>356</v>
      </c>
      <c r="E15" s="432" t="str">
        <f t="shared" si="2"/>
        <v>1.2.4 Bienes, servicios y beneficios de las entidades distritales que hacen parte del Sistema de Atención y Reparación Integral a las Víctimas publicados en el Sistema de Información de Gestión de Oferta (SIGO)</v>
      </c>
      <c r="F15" s="566" t="str">
        <f t="shared" si="2"/>
        <v>Porcentaje de entidades acompañadas con asistencia técnica para la publicación de información de bienes, servicios y beneficios  en el SIGO</v>
      </c>
      <c r="G15" s="566"/>
      <c r="H15" s="432" t="str">
        <f t="shared" si="2"/>
        <v>Constante</v>
      </c>
      <c r="I15" s="432" t="str">
        <f t="shared" si="2"/>
        <v>Porcentaje</v>
      </c>
      <c r="J15" s="50">
        <v>100</v>
      </c>
      <c r="K15" s="50">
        <v>100</v>
      </c>
      <c r="L15" s="50">
        <v>100</v>
      </c>
      <c r="M15" s="50">
        <v>100</v>
      </c>
      <c r="N15" s="50">
        <v>100</v>
      </c>
      <c r="O15" s="50">
        <v>0</v>
      </c>
      <c r="P15" s="51">
        <f t="shared" si="3"/>
        <v>100</v>
      </c>
      <c r="Q15" s="50" t="s">
        <v>601</v>
      </c>
      <c r="R15" s="52" t="str">
        <f t="shared" si="4"/>
        <v/>
      </c>
      <c r="S15" s="93" t="str">
        <f>+VLOOKUP($D15,bd,MATCH(S$9,BD_metas!$A$5:$DB$5,0),0)</f>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
      <c r="T15" s="276" t="s">
        <v>2183</v>
      </c>
      <c r="U15" s="93" t="str">
        <f>+VLOOKUP($D15,bd,MATCH(U$9,BD_metas!$A$5:$DB$5,0),0)</f>
        <v>Este proceso representa para los ciudadanos acceso condensado a la oferta de servicios que ofrece el Distrito Capital. Y para las entidades distritales representa la articulación e interoperatividad institucional (sinergia de procesos).</v>
      </c>
      <c r="V15" s="93" t="s">
        <v>1400</v>
      </c>
    </row>
    <row r="16" spans="1:22" ht="43.95" customHeight="1" x14ac:dyDescent="0.3">
      <c r="A16" s="92" t="e">
        <f t="shared" si="0"/>
        <v>#N/A</v>
      </c>
      <c r="B16" s="566"/>
      <c r="C16" s="79" t="str">
        <f t="shared" si="1"/>
        <v>Asistencia, atención y reparación integral a víctimas del conflicto armado e implementación de acciones de memoria, paz y reconciliación en Bogotá</v>
      </c>
      <c r="D16" s="432" t="s">
        <v>357</v>
      </c>
      <c r="E16" s="432" t="str">
        <f t="shared" si="2"/>
        <v xml:space="preserve">3.2.3 Criterios de valoración de situación de vulnerabilidad para el otorgamiento de medidas de ayuda humanitaria inmediata </v>
      </c>
      <c r="F16" s="566" t="str">
        <f t="shared" si="2"/>
        <v>Porcentaje de personas evaluadas con los criterios implementados para el otorgamiento de ayuda humanitaria inmediata</v>
      </c>
      <c r="G16" s="566"/>
      <c r="H16" s="432" t="str">
        <f t="shared" si="2"/>
        <v>Constante</v>
      </c>
      <c r="I16" s="432" t="str">
        <f t="shared" si="2"/>
        <v>Porcentaje</v>
      </c>
      <c r="J16" s="50">
        <v>100</v>
      </c>
      <c r="K16" s="50">
        <v>100</v>
      </c>
      <c r="L16" s="50">
        <v>100</v>
      </c>
      <c r="M16" s="50">
        <v>100</v>
      </c>
      <c r="N16" s="50">
        <v>100</v>
      </c>
      <c r="O16" s="50">
        <v>0</v>
      </c>
      <c r="P16" s="51">
        <f t="shared" si="3"/>
        <v>100</v>
      </c>
      <c r="Q16" s="50" t="s">
        <v>601</v>
      </c>
      <c r="R16" s="52" t="str">
        <f t="shared" si="4"/>
        <v/>
      </c>
      <c r="S16" s="93" t="str">
        <f>+VLOOKUP($D16,bd,MATCH(S$9,BD_metas!$A$5:$DB$5,0),0)</f>
        <v>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v>
      </c>
      <c r="T16" s="276" t="s">
        <v>2184</v>
      </c>
      <c r="U16" s="93" t="str">
        <f>+VLOOKUP($D16,bd,MATCH(U$9,BD_metas!$A$5:$DB$5,0),0)</f>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
      <c r="V16" s="93" t="s">
        <v>1409</v>
      </c>
    </row>
    <row r="17" spans="1:22" ht="43.95" customHeight="1" x14ac:dyDescent="0.3">
      <c r="A17" s="92" t="str">
        <f t="shared" si="0"/>
        <v>occ</v>
      </c>
      <c r="B17" s="79" t="s">
        <v>140</v>
      </c>
      <c r="C17" s="79" t="str">
        <f t="shared" si="1"/>
        <v>Comunicación Pública</v>
      </c>
      <c r="D17" s="432" t="s">
        <v>358</v>
      </c>
      <c r="E17" s="432" t="str">
        <f t="shared" si="2"/>
        <v xml:space="preserve">Implementar Plan de Comunicaciones de los servicios  y las acciones que desarrolla la Secretaria General </v>
      </c>
      <c r="F17" s="566" t="str">
        <f t="shared" si="2"/>
        <v xml:space="preserve">Plan de Comunicaciones de los servicios  y las acciones que desarrolla la Secretaria General implementado </v>
      </c>
      <c r="G17" s="566"/>
      <c r="H17" s="432" t="str">
        <f t="shared" si="2"/>
        <v>Suma</v>
      </c>
      <c r="I17" s="432" t="str">
        <f t="shared" si="2"/>
        <v>Porcentaje</v>
      </c>
      <c r="J17" s="50">
        <v>0</v>
      </c>
      <c r="K17" s="50">
        <v>0</v>
      </c>
      <c r="L17" s="50">
        <v>1</v>
      </c>
      <c r="M17" s="50">
        <v>1</v>
      </c>
      <c r="N17" s="50">
        <v>1</v>
      </c>
      <c r="O17" s="50">
        <v>1</v>
      </c>
      <c r="P17" s="51">
        <f t="shared" si="3"/>
        <v>100</v>
      </c>
      <c r="Q17" s="50" t="s">
        <v>638</v>
      </c>
      <c r="R17" s="52">
        <f t="shared" si="4"/>
        <v>4</v>
      </c>
      <c r="S17" s="284" t="s">
        <v>2185</v>
      </c>
      <c r="T17" s="284" t="s">
        <v>2186</v>
      </c>
      <c r="U17" s="93" t="str">
        <f>+VLOOKUP($D17,bd,MATCH(U$9,BD_metas!$A$5:$DB$5,0),0)</f>
        <v>Grantiza la ejecución ordenada de las necesidades de comunicación de las dependencias de la Secretaría General.</v>
      </c>
      <c r="V17" s="93" t="str">
        <f>+VLOOKUP($D17,bd,MATCH(V$9,BD_metas!$A$5:$DB$5,0),0)</f>
        <v xml:space="preserve">Carpeta Compartida - Matriz </v>
      </c>
    </row>
    <row r="18" spans="1:22" ht="15" thickBot="1" x14ac:dyDescent="0.35"/>
    <row r="19" spans="1:22" ht="18.600000000000001" thickBot="1" x14ac:dyDescent="0.4">
      <c r="B19" s="568" t="s">
        <v>2017</v>
      </c>
      <c r="C19" s="595"/>
      <c r="D19" s="569"/>
    </row>
    <row r="20" spans="1:22" ht="15" thickBot="1" x14ac:dyDescent="0.35">
      <c r="B20" s="570" t="s">
        <v>2018</v>
      </c>
      <c r="C20" s="605"/>
      <c r="D20" s="571"/>
      <c r="J20" s="616" t="s">
        <v>2019</v>
      </c>
      <c r="K20" s="617"/>
      <c r="L20" s="617"/>
      <c r="M20" s="617"/>
      <c r="N20" s="617"/>
      <c r="O20" s="618"/>
    </row>
    <row r="21" spans="1:22" ht="29.4" customHeight="1" x14ac:dyDescent="0.3">
      <c r="B21" s="58" t="s">
        <v>1868</v>
      </c>
      <c r="C21" s="181" t="s">
        <v>2073</v>
      </c>
      <c r="D21" s="59" t="s">
        <v>2010</v>
      </c>
      <c r="E21" s="59" t="s">
        <v>1792</v>
      </c>
      <c r="F21" s="59" t="s">
        <v>2020</v>
      </c>
      <c r="G21" s="59" t="s">
        <v>2021</v>
      </c>
      <c r="H21" s="59" t="s">
        <v>2022</v>
      </c>
      <c r="I21" s="59" t="s">
        <v>2023</v>
      </c>
      <c r="J21" s="60" t="s">
        <v>391</v>
      </c>
      <c r="K21" s="60" t="s">
        <v>392</v>
      </c>
      <c r="L21" s="60" t="s">
        <v>393</v>
      </c>
      <c r="M21" s="60" t="s">
        <v>394</v>
      </c>
      <c r="N21" s="61" t="s">
        <v>395</v>
      </c>
      <c r="O21" s="61" t="s">
        <v>396</v>
      </c>
    </row>
    <row r="22" spans="1:22" ht="25.5" hidden="1" customHeight="1" x14ac:dyDescent="0.3">
      <c r="B22" s="576" t="str">
        <f>+VLOOKUP(D22,bd,MATCH("Área o dependencia",bdfila,0),0)</f>
        <v>Oficina Alta Consejería Distrital de Tecnologías de Información y Comunicaciones - TIC</v>
      </c>
      <c r="C22" s="611" t="str">
        <f>+VLOOKUP(D22,bd,MATCH("PROCESO: ",bdfila,0),0)</f>
        <v>No Aplica</v>
      </c>
      <c r="D22" s="442" t="str">
        <f>+D10</f>
        <v>184I</v>
      </c>
      <c r="E22" s="604" t="str">
        <f>+VLOOKUP($D22,bd,MATCH(E$9,bdfila,0),0)</f>
        <v>Ejecutar el Plan de asistencia técnica, para la implementación del ERP Distrital</v>
      </c>
      <c r="F22" s="63" t="str">
        <f>D22&amp;"_V1"</f>
        <v>184I_V1</v>
      </c>
      <c r="G22" s="64" t="str">
        <f>+VLOOKUP(D22,bd,MATCH(I22,BD_metas!$A$5:$DB$5,0),0)</f>
        <v>Act. del plan de acción del convenio ejecutadas</v>
      </c>
      <c r="H22" s="65" t="s">
        <v>2030</v>
      </c>
      <c r="I22" s="65" t="s">
        <v>1029</v>
      </c>
      <c r="J22" s="269">
        <v>0.39800000000000002</v>
      </c>
      <c r="K22" s="269">
        <v>0.39800000000000002</v>
      </c>
      <c r="L22" s="269">
        <v>0.39800000000000002</v>
      </c>
      <c r="M22" s="269">
        <v>0.39800000000000002</v>
      </c>
      <c r="N22" s="269">
        <v>0.39800000000000002</v>
      </c>
      <c r="O22" s="109"/>
    </row>
    <row r="23" spans="1:22" ht="27.6" hidden="1" x14ac:dyDescent="0.3">
      <c r="B23" s="563"/>
      <c r="C23" s="612"/>
      <c r="D23" s="183" t="str">
        <f>+D22</f>
        <v>184I</v>
      </c>
      <c r="E23" s="593"/>
      <c r="F23" s="69" t="str">
        <f>D23&amp;"_V2"</f>
        <v>184I_V2</v>
      </c>
      <c r="G23" s="70" t="str">
        <f>+VLOOKUP(D23,bd,MATCH(I23,BD_metas!$A$5:$DB$5,0),0)</f>
        <v>Act. del plan de acción del convenio programadas</v>
      </c>
      <c r="H23" s="56" t="s">
        <v>2030</v>
      </c>
      <c r="I23" s="56" t="s">
        <v>1030</v>
      </c>
      <c r="J23" s="270">
        <v>0.39800000000000002</v>
      </c>
      <c r="K23" s="270">
        <v>0.79600000000000004</v>
      </c>
      <c r="L23" s="270">
        <v>1.194</v>
      </c>
      <c r="M23" s="270">
        <v>1.5920000000000001</v>
      </c>
      <c r="N23" s="270">
        <v>1.99</v>
      </c>
      <c r="O23" s="110"/>
    </row>
    <row r="24" spans="1:22" ht="113.25" hidden="1" customHeight="1" x14ac:dyDescent="0.3">
      <c r="B24" s="563"/>
      <c r="C24" s="612"/>
      <c r="D24" s="183" t="str">
        <f>+D23</f>
        <v>184I</v>
      </c>
      <c r="E24" s="593"/>
      <c r="F24" s="69" t="str">
        <f>D23&amp;"_I1"</f>
        <v>184I_I1</v>
      </c>
      <c r="G24" s="70" t="s">
        <v>1823</v>
      </c>
      <c r="H24" s="56" t="s">
        <v>2031</v>
      </c>
      <c r="I24" s="56" t="s">
        <v>2032</v>
      </c>
      <c r="J24" s="271" t="s">
        <v>2187</v>
      </c>
      <c r="K24" s="108" t="s">
        <v>2188</v>
      </c>
      <c r="L24" s="108" t="s">
        <v>2189</v>
      </c>
      <c r="M24" s="108" t="s">
        <v>2190</v>
      </c>
      <c r="N24" s="108" t="s">
        <v>2191</v>
      </c>
      <c r="O24" s="110"/>
    </row>
    <row r="25" spans="1:22" ht="41.4" hidden="1" x14ac:dyDescent="0.3">
      <c r="B25" s="563"/>
      <c r="C25" s="612"/>
      <c r="D25" s="183" t="str">
        <f>+D24</f>
        <v>184I</v>
      </c>
      <c r="E25" s="593"/>
      <c r="F25" s="69" t="str">
        <f>D25&amp;"_I2"</f>
        <v>184I_I2</v>
      </c>
      <c r="G25" s="70" t="s">
        <v>1824</v>
      </c>
      <c r="H25" s="56" t="s">
        <v>2031</v>
      </c>
      <c r="I25" s="56" t="s">
        <v>2038</v>
      </c>
      <c r="J25" s="271" t="s">
        <v>2192</v>
      </c>
      <c r="K25" s="271" t="s">
        <v>2192</v>
      </c>
      <c r="L25" s="271" t="s">
        <v>2192</v>
      </c>
      <c r="M25" s="271" t="s">
        <v>2192</v>
      </c>
      <c r="N25" s="271" t="s">
        <v>2192</v>
      </c>
      <c r="O25" s="110"/>
    </row>
    <row r="26" spans="1:22" ht="103.5" hidden="1" customHeight="1" thickBot="1" x14ac:dyDescent="0.35">
      <c r="B26" s="564"/>
      <c r="C26" s="613"/>
      <c r="D26" s="184" t="str">
        <f>+D25</f>
        <v>184I</v>
      </c>
      <c r="E26" s="594"/>
      <c r="F26" s="73" t="str">
        <f>D26&amp;"_I3"</f>
        <v>184I_I3</v>
      </c>
      <c r="G26" s="74" t="s">
        <v>1825</v>
      </c>
      <c r="H26" s="57" t="s">
        <v>2031</v>
      </c>
      <c r="I26" s="57" t="s">
        <v>2042</v>
      </c>
      <c r="J26" s="112" t="s">
        <v>2193</v>
      </c>
      <c r="K26" s="112" t="s">
        <v>2194</v>
      </c>
      <c r="L26" s="112" t="s">
        <v>2195</v>
      </c>
      <c r="M26" s="112" t="s">
        <v>2196</v>
      </c>
      <c r="N26" s="112" t="s">
        <v>2197</v>
      </c>
      <c r="O26" s="111"/>
    </row>
    <row r="27" spans="1:22" ht="25.5" hidden="1" customHeight="1" x14ac:dyDescent="0.3">
      <c r="B27" s="562" t="str">
        <f>+VLOOKUP(D27,bd,MATCH("Área o dependencia",bdfila,0),0)</f>
        <v>Oficina Alta Consejería Distrital de Tecnologías de Información y Comunicaciones - TIC</v>
      </c>
      <c r="C27" s="614" t="str">
        <f>+VLOOKUP(D27,bd,MATCH("PROCESO: ",bdfila,0),0)</f>
        <v>No Aplica</v>
      </c>
      <c r="D27" s="443" t="str">
        <f>+D11</f>
        <v>184M</v>
      </c>
      <c r="E27" s="592" t="str">
        <f>+VLOOKUP($D27,bd,MATCH(E$9,bdfila,0),0)</f>
        <v>1.1.10 Conjunto de datos de las entidades distritales publicados en el portal de datos abiertos</v>
      </c>
      <c r="F27" s="77" t="str">
        <f>D27&amp;"_V1"</f>
        <v>184M_V1</v>
      </c>
      <c r="G27" s="124" t="str">
        <f>+VLOOKUP(D27,bd,MATCH(I27,BD_metas!$A$5:$DB$5,0),0)</f>
        <v>Datos publicados por las entidades distritales en el portal de datos abiertos</v>
      </c>
      <c r="H27" s="78" t="s">
        <v>2030</v>
      </c>
      <c r="I27" s="78" t="s">
        <v>1029</v>
      </c>
      <c r="J27" s="125"/>
      <c r="K27" s="263"/>
      <c r="L27" s="312">
        <v>1023</v>
      </c>
      <c r="M27" s="312"/>
      <c r="N27" s="312">
        <v>1206</v>
      </c>
      <c r="O27" s="311"/>
    </row>
    <row r="28" spans="1:22" ht="25.5" hidden="1" customHeight="1" x14ac:dyDescent="0.3">
      <c r="B28" s="563"/>
      <c r="C28" s="612"/>
      <c r="D28" s="183" t="str">
        <f>+D27</f>
        <v>184M</v>
      </c>
      <c r="E28" s="593"/>
      <c r="F28" s="69" t="str">
        <f>D28&amp;"_V2"</f>
        <v>184M_V2</v>
      </c>
      <c r="G28" s="70">
        <f>+VLOOKUP(D28,bd,MATCH(I28,BD_metas!$A$5:$DB$5,0),0)</f>
        <v>0</v>
      </c>
      <c r="H28" s="56" t="s">
        <v>2030</v>
      </c>
      <c r="I28" s="56" t="s">
        <v>1030</v>
      </c>
      <c r="J28" s="104"/>
      <c r="K28" s="108"/>
      <c r="L28" s="104"/>
      <c r="M28" s="104"/>
      <c r="N28" s="104"/>
      <c r="O28" s="110"/>
    </row>
    <row r="29" spans="1:22" ht="86.4" hidden="1" x14ac:dyDescent="0.3">
      <c r="B29" s="563"/>
      <c r="C29" s="612"/>
      <c r="D29" s="183" t="str">
        <f>+D28</f>
        <v>184M</v>
      </c>
      <c r="E29" s="593"/>
      <c r="F29" s="69" t="str">
        <f>D28&amp;"_I1"</f>
        <v>184M_I1</v>
      </c>
      <c r="G29" s="70" t="s">
        <v>1823</v>
      </c>
      <c r="H29" s="56" t="s">
        <v>2031</v>
      </c>
      <c r="I29" s="56" t="s">
        <v>2032</v>
      </c>
      <c r="J29" s="108"/>
      <c r="K29" s="108"/>
      <c r="L29" s="271" t="s">
        <v>2198</v>
      </c>
      <c r="M29" s="104"/>
      <c r="N29" s="271" t="s">
        <v>2199</v>
      </c>
      <c r="O29" s="110"/>
    </row>
    <row r="30" spans="1:22" ht="41.4" hidden="1" x14ac:dyDescent="0.3">
      <c r="B30" s="563"/>
      <c r="C30" s="612"/>
      <c r="D30" s="183" t="str">
        <f>+D29</f>
        <v>184M</v>
      </c>
      <c r="E30" s="593"/>
      <c r="F30" s="69" t="str">
        <f>D30&amp;"_I2"</f>
        <v>184M_I2</v>
      </c>
      <c r="G30" s="70" t="s">
        <v>1824</v>
      </c>
      <c r="H30" s="56" t="s">
        <v>2031</v>
      </c>
      <c r="I30" s="56" t="s">
        <v>2038</v>
      </c>
      <c r="J30" s="108"/>
      <c r="K30" s="108"/>
      <c r="L30" s="271" t="s">
        <v>2192</v>
      </c>
      <c r="M30" s="104"/>
      <c r="N30" s="271" t="s">
        <v>2192</v>
      </c>
      <c r="O30" s="110"/>
    </row>
    <row r="31" spans="1:22" ht="101.4" hidden="1" thickBot="1" x14ac:dyDescent="0.35">
      <c r="B31" s="564"/>
      <c r="C31" s="613"/>
      <c r="D31" s="184" t="str">
        <f>+D30</f>
        <v>184M</v>
      </c>
      <c r="E31" s="594"/>
      <c r="F31" s="73" t="str">
        <f>D31&amp;"_I3"</f>
        <v>184M_I3</v>
      </c>
      <c r="G31" s="74" t="s">
        <v>1825</v>
      </c>
      <c r="H31" s="57" t="s">
        <v>2031</v>
      </c>
      <c r="I31" s="57" t="s">
        <v>2042</v>
      </c>
      <c r="J31" s="112"/>
      <c r="K31" s="112"/>
      <c r="L31" s="272" t="s">
        <v>2200</v>
      </c>
      <c r="M31" s="107"/>
      <c r="N31" s="272" t="s">
        <v>2200</v>
      </c>
      <c r="O31" s="111"/>
    </row>
    <row r="32" spans="1:22" ht="15" customHeight="1" x14ac:dyDescent="0.3">
      <c r="B32" s="562" t="str">
        <f>+VLOOKUP(D32,bd,MATCH("Área o dependencia",bdfila,0),0)</f>
        <v>Oficina Alta Consejería para los Derechos de las Víctimas, la Paz y la Reconciliación</v>
      </c>
      <c r="C32" s="614" t="str">
        <f>+VLOOKUP(D32,bd,MATCH("PROCESO: ",bdfila,0),0)</f>
        <v>Asistencia, atención y reparación integral a víctimas del conflicto armado e implementación de acciones de memoria, paz y reconciliación en Bogotá</v>
      </c>
      <c r="D32" s="443" t="str">
        <f>+D12</f>
        <v>174A</v>
      </c>
      <c r="E32" s="592" t="str">
        <f>+VLOOKUP($D32,bd,MATCH(E$9,bdfila,0),0)</f>
        <v xml:space="preserve">1.1.21 Garantías e incentivos para la Participación Efectiva de las Víctimas del Conflicto Armado en Bogotá  </v>
      </c>
      <c r="F32" s="77" t="str">
        <f>D32&amp;"_V1"</f>
        <v>174A_V1</v>
      </c>
      <c r="G32" s="124" t="str">
        <f>+VLOOKUP(D32,bd,MATCH(I32,BD_metas!$A$5:$DB$5,0),0)</f>
        <v>Número garantías cumplidas</v>
      </c>
      <c r="H32" s="78" t="s">
        <v>2030</v>
      </c>
      <c r="I32" s="78" t="s">
        <v>1029</v>
      </c>
      <c r="J32" s="125">
        <v>36</v>
      </c>
      <c r="K32" s="125">
        <v>251</v>
      </c>
      <c r="L32" s="125">
        <v>563</v>
      </c>
      <c r="M32" s="125">
        <v>541</v>
      </c>
      <c r="N32" s="125">
        <v>0</v>
      </c>
      <c r="O32" s="311"/>
    </row>
    <row r="33" spans="2:15" x14ac:dyDescent="0.3">
      <c r="B33" s="563"/>
      <c r="C33" s="612"/>
      <c r="D33" s="183" t="str">
        <f>+D32</f>
        <v>174A</v>
      </c>
      <c r="E33" s="593"/>
      <c r="F33" s="69" t="str">
        <f>D33&amp;"_V2"</f>
        <v>174A_V2</v>
      </c>
      <c r="G33" s="70" t="str">
        <f>+VLOOKUP(D33,bd,MATCH(I33,BD_metas!$A$5:$DB$5,0),0)</f>
        <v>Número garantías pactadas</v>
      </c>
      <c r="H33" s="56" t="s">
        <v>2030</v>
      </c>
      <c r="I33" s="56" t="s">
        <v>1030</v>
      </c>
      <c r="J33" s="104">
        <v>36</v>
      </c>
      <c r="K33" s="104">
        <v>251</v>
      </c>
      <c r="L33" s="104">
        <v>563</v>
      </c>
      <c r="M33" s="104">
        <v>541</v>
      </c>
      <c r="N33" s="104">
        <v>0</v>
      </c>
      <c r="O33" s="110"/>
    </row>
    <row r="34" spans="2:15" ht="152.25" customHeight="1" x14ac:dyDescent="0.3">
      <c r="B34" s="563"/>
      <c r="C34" s="612"/>
      <c r="D34" s="183" t="str">
        <f>+D33</f>
        <v>174A</v>
      </c>
      <c r="E34" s="593"/>
      <c r="F34" s="69" t="str">
        <f>D33&amp;"_I1"</f>
        <v>174A_I1</v>
      </c>
      <c r="G34" s="70" t="s">
        <v>1823</v>
      </c>
      <c r="H34" s="56" t="s">
        <v>2031</v>
      </c>
      <c r="I34" s="56" t="s">
        <v>2032</v>
      </c>
      <c r="J34" s="108" t="s">
        <v>2201</v>
      </c>
      <c r="K34" s="108" t="s">
        <v>2202</v>
      </c>
      <c r="L34" s="108" t="s">
        <v>2203</v>
      </c>
      <c r="M34" s="108" t="s">
        <v>2204</v>
      </c>
      <c r="N34" s="108" t="s">
        <v>2205</v>
      </c>
      <c r="O34" s="110"/>
    </row>
    <row r="35" spans="2:15" ht="129.6" x14ac:dyDescent="0.3">
      <c r="B35" s="563"/>
      <c r="C35" s="612"/>
      <c r="D35" s="183" t="str">
        <f>+D34</f>
        <v>174A</v>
      </c>
      <c r="E35" s="593"/>
      <c r="F35" s="69" t="str">
        <f>D35&amp;"_I2"</f>
        <v>174A_I2</v>
      </c>
      <c r="G35" s="70" t="s">
        <v>1824</v>
      </c>
      <c r="H35" s="56" t="s">
        <v>2031</v>
      </c>
      <c r="I35" s="56" t="s">
        <v>2038</v>
      </c>
      <c r="J35" s="108" t="s">
        <v>2206</v>
      </c>
      <c r="K35" s="108" t="s">
        <v>2206</v>
      </c>
      <c r="L35" s="108" t="s">
        <v>2207</v>
      </c>
      <c r="M35" s="108" t="s">
        <v>2208</v>
      </c>
      <c r="N35" s="108" t="s">
        <v>2209</v>
      </c>
      <c r="O35" s="110"/>
    </row>
    <row r="36" spans="2:15" ht="159" thickBot="1" x14ac:dyDescent="0.35">
      <c r="B36" s="564"/>
      <c r="C36" s="613"/>
      <c r="D36" s="184" t="str">
        <f>+D35</f>
        <v>174A</v>
      </c>
      <c r="E36" s="594"/>
      <c r="F36" s="73" t="str">
        <f>D36&amp;"_I3"</f>
        <v>174A_I3</v>
      </c>
      <c r="G36" s="74" t="s">
        <v>1825</v>
      </c>
      <c r="H36" s="57" t="s">
        <v>2031</v>
      </c>
      <c r="I36" s="57" t="s">
        <v>2042</v>
      </c>
      <c r="J36" s="112" t="s">
        <v>2210</v>
      </c>
      <c r="K36" s="112" t="s">
        <v>2211</v>
      </c>
      <c r="L36" s="112" t="s">
        <v>2212</v>
      </c>
      <c r="M36" s="107" t="s">
        <v>2213</v>
      </c>
      <c r="N36" s="112" t="s">
        <v>2211</v>
      </c>
      <c r="O36" s="111"/>
    </row>
    <row r="37" spans="2:15" ht="25.5" customHeight="1" x14ac:dyDescent="0.3">
      <c r="B37" s="562" t="str">
        <f>+VLOOKUP(D37,bd,MATCH("Área o dependencia",bdfila,0),0)</f>
        <v>Oficina Alta Consejería para los Derechos de las Víctimas, la Paz y la Reconciliación</v>
      </c>
      <c r="C37" s="614" t="str">
        <f>+VLOOKUP(D37,bd,MATCH("PROCESO: ",bdfila,0),0)</f>
        <v>Asistencia, atención y reparación integral a víctimas del conflicto armado e implementación de acciones de memoria, paz y reconciliación en Bogotá</v>
      </c>
      <c r="D37" s="443" t="str">
        <f>+D13</f>
        <v>174B</v>
      </c>
      <c r="E37" s="592" t="str">
        <f>+VLOOKUP($D37,bd,MATCH(E$9,bdfila,0),0)</f>
        <v xml:space="preserve">1.1.26 Sistema de información para consulta de avances en la ejecución del Plan de Acción Distrital para la Atención y la Reparación  Integral a las Víctimas que incorpore las variables que den cuenta del enfoque poblacional diferencial </v>
      </c>
      <c r="F37" s="77" t="str">
        <f>D37&amp;"_V1"</f>
        <v>174B_V1</v>
      </c>
      <c r="G37" s="124" t="str">
        <f>+VLOOKUP(D37,bd,MATCH(I37,BD_metas!$A$5:$DB$5,0),0)</f>
        <v>Sumatoria de fases de mejoramiento del Sistema de Información del Plan de Acción Distrital para la Atención y la Reparación Integral a las Víctimas requerimientos de mejora del sistema de información implementadas</v>
      </c>
      <c r="H37" s="78" t="s">
        <v>2030</v>
      </c>
      <c r="I37" s="78" t="s">
        <v>1029</v>
      </c>
      <c r="J37" s="125">
        <v>0</v>
      </c>
      <c r="K37" s="125">
        <v>3</v>
      </c>
      <c r="L37" s="125">
        <v>5</v>
      </c>
      <c r="M37" s="125">
        <v>4</v>
      </c>
      <c r="N37" s="125">
        <v>17</v>
      </c>
      <c r="O37" s="311"/>
    </row>
    <row r="38" spans="2:15" ht="27.75" customHeight="1" x14ac:dyDescent="0.3">
      <c r="B38" s="563"/>
      <c r="C38" s="612"/>
      <c r="D38" s="183" t="str">
        <f>+D37</f>
        <v>174B</v>
      </c>
      <c r="E38" s="593"/>
      <c r="F38" s="69" t="str">
        <f>D38&amp;"_V2"</f>
        <v>174B_V2</v>
      </c>
      <c r="G38" s="70" t="str">
        <f>+VLOOKUP(D38,bd,MATCH(I38,BD_metas!$A$5:$DB$5,0),0)</f>
        <v>Sumatoria de fases de mejoramiento del Sistema de Información del Plan de Acción Distrital para la Atención y la Reparación Integral a las Víctimas requerimientos de mejora del sistema de información programadas</v>
      </c>
      <c r="H38" s="56" t="s">
        <v>2030</v>
      </c>
      <c r="I38" s="56" t="s">
        <v>1030</v>
      </c>
      <c r="J38" s="104">
        <v>0</v>
      </c>
      <c r="K38" s="104">
        <v>3</v>
      </c>
      <c r="L38" s="104">
        <v>5</v>
      </c>
      <c r="M38" s="104">
        <v>4</v>
      </c>
      <c r="N38" s="104">
        <v>17</v>
      </c>
      <c r="O38" s="110"/>
    </row>
    <row r="39" spans="2:15" ht="122.25" customHeight="1" x14ac:dyDescent="0.3">
      <c r="B39" s="563"/>
      <c r="C39" s="612"/>
      <c r="D39" s="183" t="str">
        <f>+D38</f>
        <v>174B</v>
      </c>
      <c r="E39" s="593"/>
      <c r="F39" s="69" t="str">
        <f>D38&amp;"_I1"</f>
        <v>174B_I1</v>
      </c>
      <c r="G39" s="70" t="s">
        <v>1823</v>
      </c>
      <c r="H39" s="56" t="s">
        <v>2031</v>
      </c>
      <c r="I39" s="56" t="s">
        <v>2032</v>
      </c>
      <c r="J39" s="108" t="s">
        <v>2214</v>
      </c>
      <c r="K39" s="108" t="s">
        <v>2215</v>
      </c>
      <c r="L39" s="108" t="s">
        <v>2216</v>
      </c>
      <c r="M39" s="108" t="s">
        <v>2217</v>
      </c>
      <c r="N39" s="108" t="s">
        <v>2218</v>
      </c>
      <c r="O39" s="110"/>
    </row>
    <row r="40" spans="2:15" ht="41.4" x14ac:dyDescent="0.3">
      <c r="B40" s="563"/>
      <c r="C40" s="612"/>
      <c r="D40" s="183" t="str">
        <f>+D39</f>
        <v>174B</v>
      </c>
      <c r="E40" s="593"/>
      <c r="F40" s="69" t="str">
        <f>D40&amp;"_I2"</f>
        <v>174B_I2</v>
      </c>
      <c r="G40" s="70" t="s">
        <v>1824</v>
      </c>
      <c r="H40" s="56" t="s">
        <v>2031</v>
      </c>
      <c r="I40" s="56" t="s">
        <v>2038</v>
      </c>
      <c r="J40" s="108" t="s">
        <v>42</v>
      </c>
      <c r="K40" s="108" t="s">
        <v>2206</v>
      </c>
      <c r="L40" s="108" t="s">
        <v>2206</v>
      </c>
      <c r="M40" s="108" t="s">
        <v>2206</v>
      </c>
      <c r="N40" s="108" t="s">
        <v>2206</v>
      </c>
      <c r="O40" s="110"/>
    </row>
    <row r="41" spans="2:15" ht="111" customHeight="1" thickBot="1" x14ac:dyDescent="0.35">
      <c r="B41" s="564"/>
      <c r="C41" s="613"/>
      <c r="D41" s="184" t="str">
        <f>+D40</f>
        <v>174B</v>
      </c>
      <c r="E41" s="594"/>
      <c r="F41" s="73" t="str">
        <f>D41&amp;"_I3"</f>
        <v>174B_I3</v>
      </c>
      <c r="G41" s="74" t="s">
        <v>1825</v>
      </c>
      <c r="H41" s="57" t="s">
        <v>2031</v>
      </c>
      <c r="I41" s="57" t="s">
        <v>2042</v>
      </c>
      <c r="J41" s="112" t="s">
        <v>42</v>
      </c>
      <c r="K41" s="112" t="s">
        <v>2219</v>
      </c>
      <c r="L41" s="112" t="s">
        <v>2220</v>
      </c>
      <c r="M41" s="112" t="s">
        <v>2221</v>
      </c>
      <c r="N41" s="112" t="s">
        <v>2220</v>
      </c>
      <c r="O41" s="111"/>
    </row>
    <row r="42" spans="2:15" ht="25.5" customHeight="1" x14ac:dyDescent="0.3">
      <c r="B42" s="562" t="str">
        <f>+VLOOKUP(D42,bd,MATCH("Área o dependencia",bdfila,0),0)</f>
        <v>Oficina Alta Consejería para los Derechos de las Víctimas, la Paz y la Reconciliación</v>
      </c>
      <c r="C42" s="614" t="str">
        <f>+VLOOKUP(D42,bd,MATCH("PROCESO: ",bdfila,0),0)</f>
        <v>Asistencia, atención y reparación integral a víctimas del conflicto armado e implementación de acciones de memoria, paz y reconciliación en Bogotá</v>
      </c>
      <c r="D42" s="443" t="str">
        <f>+D14</f>
        <v>174C</v>
      </c>
      <c r="E42" s="592" t="str">
        <f>+VLOOKUP($D42,bd,MATCH(E$9,bdfila,0),0)</f>
        <v>1.1.28 Uso de mecanismos de consulta para la acreditación de personas en el Registro Único de Víctimas</v>
      </c>
      <c r="F42" s="77" t="str">
        <f>D42&amp;"_V1"</f>
        <v>174C_V1</v>
      </c>
      <c r="G42" s="124" t="str">
        <f>+VLOOKUP(D42,bd,MATCH(I42,BD_metas!$A$5:$DB$5,0),0)</f>
        <v>Entidades del SDARIV con metas vigentes en el PAD a las que se les actualiza la acreditación</v>
      </c>
      <c r="H42" s="78" t="s">
        <v>2030</v>
      </c>
      <c r="I42" s="78" t="s">
        <v>1029</v>
      </c>
      <c r="J42" s="125">
        <v>33</v>
      </c>
      <c r="K42" s="125">
        <v>0</v>
      </c>
      <c r="L42" s="125">
        <v>0</v>
      </c>
      <c r="M42" s="125">
        <v>3</v>
      </c>
      <c r="N42" s="125">
        <v>4</v>
      </c>
      <c r="O42" s="311"/>
    </row>
    <row r="43" spans="2:15" ht="25.5" customHeight="1" x14ac:dyDescent="0.3">
      <c r="B43" s="563"/>
      <c r="C43" s="612"/>
      <c r="D43" s="183" t="str">
        <f>+D42</f>
        <v>174C</v>
      </c>
      <c r="E43" s="593"/>
      <c r="F43" s="69" t="str">
        <f>D43&amp;"_V2"</f>
        <v>174C_V2</v>
      </c>
      <c r="G43" s="70" t="str">
        <f>+VLOOKUP(D43,bd,MATCH(I43,BD_metas!$A$5:$DB$5,0),0)</f>
        <v>Entidades del SDARIV con metas vigentes en el PAD que realizan solicitud de actualización de acreditación</v>
      </c>
      <c r="H43" s="56" t="s">
        <v>2030</v>
      </c>
      <c r="I43" s="56" t="s">
        <v>1030</v>
      </c>
      <c r="J43" s="104">
        <v>33</v>
      </c>
      <c r="K43" s="104">
        <v>0</v>
      </c>
      <c r="L43" s="104">
        <v>0</v>
      </c>
      <c r="M43" s="104">
        <v>3</v>
      </c>
      <c r="N43" s="104">
        <v>4</v>
      </c>
      <c r="O43" s="110"/>
    </row>
    <row r="44" spans="2:15" ht="144" x14ac:dyDescent="0.3">
      <c r="B44" s="563"/>
      <c r="C44" s="612"/>
      <c r="D44" s="183" t="str">
        <f>+D43</f>
        <v>174C</v>
      </c>
      <c r="E44" s="593"/>
      <c r="F44" s="69" t="str">
        <f>D43&amp;"_I1"</f>
        <v>174C_I1</v>
      </c>
      <c r="G44" s="70" t="s">
        <v>1823</v>
      </c>
      <c r="H44" s="56" t="s">
        <v>2031</v>
      </c>
      <c r="I44" s="56" t="s">
        <v>2032</v>
      </c>
      <c r="J44" s="108" t="s">
        <v>2222</v>
      </c>
      <c r="K44" s="108" t="s">
        <v>2223</v>
      </c>
      <c r="L44" s="108" t="s">
        <v>2223</v>
      </c>
      <c r="M44" s="108" t="s">
        <v>2224</v>
      </c>
      <c r="N44" s="108" t="s">
        <v>2225</v>
      </c>
      <c r="O44" s="110"/>
    </row>
    <row r="45" spans="2:15" ht="41.4" x14ac:dyDescent="0.3">
      <c r="B45" s="563"/>
      <c r="C45" s="612"/>
      <c r="D45" s="183" t="str">
        <f>+D44</f>
        <v>174C</v>
      </c>
      <c r="E45" s="593"/>
      <c r="F45" s="69" t="str">
        <f>D45&amp;"_I2"</f>
        <v>174C_I2</v>
      </c>
      <c r="G45" s="70" t="s">
        <v>1824</v>
      </c>
      <c r="H45" s="56" t="s">
        <v>2031</v>
      </c>
      <c r="I45" s="56" t="s">
        <v>2038</v>
      </c>
      <c r="J45" s="108" t="s">
        <v>2206</v>
      </c>
      <c r="K45" s="108" t="s">
        <v>2206</v>
      </c>
      <c r="L45" s="108" t="s">
        <v>2206</v>
      </c>
      <c r="M45" s="108" t="s">
        <v>2206</v>
      </c>
      <c r="N45" s="108" t="s">
        <v>2206</v>
      </c>
      <c r="O45" s="110"/>
    </row>
    <row r="46" spans="2:15" ht="58.2" thickBot="1" x14ac:dyDescent="0.35">
      <c r="B46" s="564"/>
      <c r="C46" s="613"/>
      <c r="D46" s="184" t="str">
        <f>+D45</f>
        <v>174C</v>
      </c>
      <c r="E46" s="594"/>
      <c r="F46" s="73" t="str">
        <f>D46&amp;"_I3"</f>
        <v>174C_I3</v>
      </c>
      <c r="G46" s="74" t="s">
        <v>1825</v>
      </c>
      <c r="H46" s="57" t="s">
        <v>2031</v>
      </c>
      <c r="I46" s="57" t="s">
        <v>2042</v>
      </c>
      <c r="J46" s="112" t="s">
        <v>2226</v>
      </c>
      <c r="K46" s="112" t="s">
        <v>42</v>
      </c>
      <c r="L46" s="112" t="s">
        <v>42</v>
      </c>
      <c r="M46" s="112" t="s">
        <v>2226</v>
      </c>
      <c r="N46" s="112" t="s">
        <v>2227</v>
      </c>
      <c r="O46" s="111"/>
    </row>
    <row r="47" spans="2:15" ht="27.6" x14ac:dyDescent="0.3">
      <c r="B47" s="562" t="str">
        <f>+VLOOKUP(D47,bd,MATCH("Área o dependencia",bdfila,0),0)</f>
        <v>Oficina Alta Consejería para los Derechos de las Víctimas, la Paz y la Reconciliación</v>
      </c>
      <c r="C47" s="614" t="str">
        <f>+VLOOKUP(D47,bd,MATCH("PROCESO: ",bdfila,0),0)</f>
        <v>Asistencia, atención y reparación integral a víctimas del conflicto armado e implementación de acciones de memoria, paz y reconciliación en Bogotá</v>
      </c>
      <c r="D47" s="443" t="str">
        <f>+D15</f>
        <v>174D</v>
      </c>
      <c r="E47" s="592" t="str">
        <f>+VLOOKUP($D47,bd,MATCH(E$9,bdfila,0),0)</f>
        <v>1.2.4 Bienes, servicios y beneficios de las entidades distritales que hacen parte del Sistema de Atención y Reparación Integral a las Víctimas publicados en el Sistema de Información de Gestión de Oferta (SIGO)</v>
      </c>
      <c r="F47" s="77" t="str">
        <f>D47&amp;"_V1"</f>
        <v>174D_V1</v>
      </c>
      <c r="G47" s="124" t="str">
        <f>+VLOOKUP(D47,bd,MATCH(I47,BD_metas!$A$5:$DB$5,0),0)</f>
        <v>Entidades con información de bienes, servicios y beneficios publicados en el SIGO</v>
      </c>
      <c r="H47" s="78" t="s">
        <v>2030</v>
      </c>
      <c r="I47" s="78" t="s">
        <v>1029</v>
      </c>
      <c r="J47" s="125">
        <v>0</v>
      </c>
      <c r="K47" s="125">
        <v>0</v>
      </c>
      <c r="L47" s="125">
        <v>0</v>
      </c>
      <c r="M47" s="125">
        <v>0</v>
      </c>
      <c r="N47" s="125">
        <v>0</v>
      </c>
      <c r="O47" s="311"/>
    </row>
    <row r="48" spans="2:15" ht="25.5" customHeight="1" x14ac:dyDescent="0.3">
      <c r="B48" s="563"/>
      <c r="C48" s="612"/>
      <c r="D48" s="183" t="str">
        <f>+D47</f>
        <v>174D</v>
      </c>
      <c r="E48" s="593"/>
      <c r="F48" s="69" t="str">
        <f>D48&amp;"_V2"</f>
        <v>174D_V2</v>
      </c>
      <c r="G48" s="70" t="str">
        <f>+VLOOKUP(D48,bd,MATCH(I48,BD_metas!$A$5:$DB$5,0),0)</f>
        <v>Total de entidades pertenecientes al SDARIV</v>
      </c>
      <c r="H48" s="56" t="s">
        <v>2030</v>
      </c>
      <c r="I48" s="56" t="s">
        <v>1030</v>
      </c>
      <c r="J48" s="104">
        <v>0</v>
      </c>
      <c r="K48" s="104">
        <v>0</v>
      </c>
      <c r="L48" s="104">
        <v>0</v>
      </c>
      <c r="M48" s="104">
        <v>0</v>
      </c>
      <c r="N48" s="104">
        <v>0</v>
      </c>
      <c r="O48" s="110"/>
    </row>
    <row r="49" spans="2:15" ht="28.8" x14ac:dyDescent="0.3">
      <c r="B49" s="563"/>
      <c r="C49" s="612"/>
      <c r="D49" s="183" t="str">
        <f>+D48</f>
        <v>174D</v>
      </c>
      <c r="E49" s="593"/>
      <c r="F49" s="69" t="str">
        <f>D48&amp;"_I1"</f>
        <v>174D_I1</v>
      </c>
      <c r="G49" s="70" t="s">
        <v>1823</v>
      </c>
      <c r="H49" s="56" t="s">
        <v>2031</v>
      </c>
      <c r="I49" s="56" t="s">
        <v>2032</v>
      </c>
      <c r="J49" s="108" t="s">
        <v>2228</v>
      </c>
      <c r="K49" s="108" t="s">
        <v>2228</v>
      </c>
      <c r="L49" s="108" t="s">
        <v>2228</v>
      </c>
      <c r="M49" s="108" t="s">
        <v>2228</v>
      </c>
      <c r="N49" s="108" t="s">
        <v>2228</v>
      </c>
      <c r="O49" s="110"/>
    </row>
    <row r="50" spans="2:15" ht="43.2" x14ac:dyDescent="0.3">
      <c r="B50" s="563"/>
      <c r="C50" s="612"/>
      <c r="D50" s="183" t="str">
        <f>+D49</f>
        <v>174D</v>
      </c>
      <c r="E50" s="593"/>
      <c r="F50" s="69" t="str">
        <f>D50&amp;"_I2"</f>
        <v>174D_I2</v>
      </c>
      <c r="G50" s="70" t="s">
        <v>1824</v>
      </c>
      <c r="H50" s="56" t="s">
        <v>2031</v>
      </c>
      <c r="I50" s="56" t="s">
        <v>2038</v>
      </c>
      <c r="J50" s="108" t="s">
        <v>2229</v>
      </c>
      <c r="K50" s="108" t="s">
        <v>2229</v>
      </c>
      <c r="L50" s="108" t="s">
        <v>2229</v>
      </c>
      <c r="M50" s="108" t="s">
        <v>2229</v>
      </c>
      <c r="N50" s="108" t="s">
        <v>2229</v>
      </c>
      <c r="O50" s="110"/>
    </row>
    <row r="51" spans="2:15" ht="42" thickBot="1" x14ac:dyDescent="0.35">
      <c r="B51" s="564"/>
      <c r="C51" s="613"/>
      <c r="D51" s="184" t="str">
        <f>+D50</f>
        <v>174D</v>
      </c>
      <c r="E51" s="594"/>
      <c r="F51" s="73" t="str">
        <f>D51&amp;"_I3"</f>
        <v>174D_I3</v>
      </c>
      <c r="G51" s="74" t="s">
        <v>1825</v>
      </c>
      <c r="H51" s="57" t="s">
        <v>2031</v>
      </c>
      <c r="I51" s="57" t="s">
        <v>2042</v>
      </c>
      <c r="J51" s="112" t="s">
        <v>42</v>
      </c>
      <c r="K51" s="112" t="s">
        <v>42</v>
      </c>
      <c r="L51" s="112" t="s">
        <v>42</v>
      </c>
      <c r="M51" s="112" t="s">
        <v>42</v>
      </c>
      <c r="N51" s="112" t="s">
        <v>42</v>
      </c>
      <c r="O51" s="111"/>
    </row>
    <row r="52" spans="2:15" ht="25.5" customHeight="1" x14ac:dyDescent="0.3">
      <c r="B52" s="562" t="str">
        <f>+VLOOKUP(D52,bd,MATCH("Área o dependencia",bdfila,0),0)</f>
        <v>Oficina Alta Consejería para los Derechos de las Víctimas, la Paz y la Reconciliación</v>
      </c>
      <c r="C52" s="614" t="str">
        <f>+VLOOKUP(D52,bd,MATCH("PROCESO: ",bdfila,0),0)</f>
        <v>Asistencia, atención y reparación integral a víctimas del conflicto armado e implementación de acciones de memoria, paz y reconciliación en Bogotá</v>
      </c>
      <c r="D52" s="443" t="str">
        <f>+D16</f>
        <v>174E</v>
      </c>
      <c r="E52" s="592" t="str">
        <f>+VLOOKUP($D52,bd,MATCH(E$9,bdfila,0),0)</f>
        <v xml:space="preserve">3.2.3 Criterios de valoración de situación de vulnerabilidad para el otorgamiento de medidas de ayuda humanitaria inmediata </v>
      </c>
      <c r="F52" s="77" t="str">
        <f>D52&amp;"_V1"</f>
        <v>174E_V1</v>
      </c>
      <c r="G52" s="124" t="str">
        <f>+VLOOKUP(D52,bd,MATCH(I52,BD_metas!$A$5:$DB$5,0),0)</f>
        <v>Sumatoria de personas que son evaluadas con los criterios implementados para el otorgamiento de ayuda humanitaria inmediata</v>
      </c>
      <c r="H52" s="78" t="s">
        <v>2030</v>
      </c>
      <c r="I52" s="78" t="s">
        <v>1029</v>
      </c>
      <c r="J52" s="125">
        <v>1001</v>
      </c>
      <c r="K52" s="125">
        <v>1533</v>
      </c>
      <c r="L52" s="125">
        <v>1262</v>
      </c>
      <c r="M52" s="125">
        <v>1225</v>
      </c>
      <c r="N52" s="125">
        <v>473</v>
      </c>
      <c r="O52" s="311"/>
    </row>
    <row r="53" spans="2:15" ht="27.6" x14ac:dyDescent="0.3">
      <c r="B53" s="563"/>
      <c r="C53" s="612"/>
      <c r="D53" s="183" t="str">
        <f>+D52</f>
        <v>174E</v>
      </c>
      <c r="E53" s="593"/>
      <c r="F53" s="69" t="str">
        <f>D53&amp;"_V2"</f>
        <v>174E_V2</v>
      </c>
      <c r="G53" s="70" t="str">
        <f>+VLOOKUP(D53,bd,MATCH(I53,BD_metas!$A$5:$DB$5,0),0)</f>
        <v>Total de personas que solicitan la ayuda humanitaria inmediata</v>
      </c>
      <c r="H53" s="56" t="s">
        <v>2030</v>
      </c>
      <c r="I53" s="56" t="s">
        <v>1030</v>
      </c>
      <c r="J53" s="104">
        <v>1001</v>
      </c>
      <c r="K53" s="104">
        <v>1533</v>
      </c>
      <c r="L53" s="104">
        <v>1262</v>
      </c>
      <c r="M53" s="104">
        <v>1225</v>
      </c>
      <c r="N53" s="104">
        <v>473</v>
      </c>
      <c r="O53" s="110"/>
    </row>
    <row r="54" spans="2:15" ht="123.75" customHeight="1" x14ac:dyDescent="0.3">
      <c r="B54" s="563"/>
      <c r="C54" s="612"/>
      <c r="D54" s="183" t="str">
        <f>+D53</f>
        <v>174E</v>
      </c>
      <c r="E54" s="593"/>
      <c r="F54" s="69" t="str">
        <f>D53&amp;"_I1"</f>
        <v>174E_I1</v>
      </c>
      <c r="G54" s="70" t="s">
        <v>1823</v>
      </c>
      <c r="H54" s="56" t="s">
        <v>2031</v>
      </c>
      <c r="I54" s="56" t="s">
        <v>2032</v>
      </c>
      <c r="J54" s="108" t="s">
        <v>2230</v>
      </c>
      <c r="K54" s="108" t="s">
        <v>2231</v>
      </c>
      <c r="L54" s="108" t="s">
        <v>2232</v>
      </c>
      <c r="M54" s="108" t="s">
        <v>2233</v>
      </c>
      <c r="N54" s="108" t="s">
        <v>2234</v>
      </c>
      <c r="O54" s="110"/>
    </row>
    <row r="55" spans="2:15" ht="114" customHeight="1" x14ac:dyDescent="0.3">
      <c r="B55" s="563"/>
      <c r="C55" s="612"/>
      <c r="D55" s="183" t="str">
        <f>+D54</f>
        <v>174E</v>
      </c>
      <c r="E55" s="593"/>
      <c r="F55" s="69" t="str">
        <f>D55&amp;"_I2"</f>
        <v>174E_I2</v>
      </c>
      <c r="G55" s="70" t="s">
        <v>1824</v>
      </c>
      <c r="H55" s="56" t="s">
        <v>2031</v>
      </c>
      <c r="I55" s="56" t="s">
        <v>2038</v>
      </c>
      <c r="J55" s="108" t="s">
        <v>2229</v>
      </c>
      <c r="K55" s="108" t="s">
        <v>2229</v>
      </c>
      <c r="L55" s="108" t="s">
        <v>2229</v>
      </c>
      <c r="M55" s="108" t="s">
        <v>2229</v>
      </c>
      <c r="N55" s="108" t="s">
        <v>2235</v>
      </c>
      <c r="O55" s="110"/>
    </row>
    <row r="56" spans="2:15" ht="43.8" thickBot="1" x14ac:dyDescent="0.35">
      <c r="B56" s="564"/>
      <c r="C56" s="613"/>
      <c r="D56" s="184" t="str">
        <f>+D55</f>
        <v>174E</v>
      </c>
      <c r="E56" s="594"/>
      <c r="F56" s="73" t="str">
        <f>D56&amp;"_I3"</f>
        <v>174E_I3</v>
      </c>
      <c r="G56" s="74" t="s">
        <v>1825</v>
      </c>
      <c r="H56" s="57" t="s">
        <v>2031</v>
      </c>
      <c r="I56" s="57" t="s">
        <v>2042</v>
      </c>
      <c r="J56" s="112" t="s">
        <v>2236</v>
      </c>
      <c r="K56" s="112" t="s">
        <v>2236</v>
      </c>
      <c r="L56" s="112" t="s">
        <v>2236</v>
      </c>
      <c r="M56" s="112" t="s">
        <v>2236</v>
      </c>
      <c r="N56" s="112" t="s">
        <v>2236</v>
      </c>
      <c r="O56" s="111"/>
    </row>
    <row r="57" spans="2:15" ht="25.5" customHeight="1" x14ac:dyDescent="0.3">
      <c r="B57" s="562" t="str">
        <f>+VLOOKUP(D57,bd,MATCH("Área o dependencia",bdfila,0),0)</f>
        <v>Oficina Consejería de Comunicaciones</v>
      </c>
      <c r="C57" s="614" t="str">
        <f>+VLOOKUP(D57,bd,MATCH("PROCESO: ",bdfila,0),0)</f>
        <v>Comunicación Pública</v>
      </c>
      <c r="D57" s="443" t="str">
        <f>+D17</f>
        <v>10K</v>
      </c>
      <c r="E57" s="592" t="str">
        <f>+VLOOKUP($D57,bd,MATCH(E$9,bdfila,0),0)</f>
        <v xml:space="preserve">Implementar Plan de Comunicaciones de los servicios  y las acciones que desarrolla la Secretaria General </v>
      </c>
      <c r="F57" s="77" t="str">
        <f>D57&amp;"_V1"</f>
        <v>10K_V1</v>
      </c>
      <c r="G57" s="124" t="str">
        <f>+VLOOKUP(D57,bd,MATCH(I57,BD_metas!$A$5:$DB$5,0),0)</f>
        <v>Hitos del Plan de Comunicaciones ejecutados</v>
      </c>
      <c r="H57" s="78" t="s">
        <v>2030</v>
      </c>
      <c r="I57" s="78" t="s">
        <v>1029</v>
      </c>
      <c r="J57" s="125">
        <v>0</v>
      </c>
      <c r="K57" s="125">
        <v>0</v>
      </c>
      <c r="L57" s="125">
        <v>1</v>
      </c>
      <c r="M57" s="125">
        <v>1</v>
      </c>
      <c r="N57" s="125">
        <v>1</v>
      </c>
      <c r="O57" s="311">
        <v>1</v>
      </c>
    </row>
    <row r="58" spans="2:15" ht="27.6" x14ac:dyDescent="0.3">
      <c r="B58" s="563"/>
      <c r="C58" s="612"/>
      <c r="D58" s="183" t="str">
        <f>+D57</f>
        <v>10K</v>
      </c>
      <c r="E58" s="593"/>
      <c r="F58" s="69" t="str">
        <f>D58&amp;"_V2"</f>
        <v>10K_V2</v>
      </c>
      <c r="G58" s="70" t="str">
        <f>+VLOOKUP(D58,bd,MATCH(I58,BD_metas!$A$5:$DB$5,0),0)</f>
        <v>Hitos del Plan de Comunicaciones programados</v>
      </c>
      <c r="H58" s="56" t="s">
        <v>2030</v>
      </c>
      <c r="I58" s="56" t="s">
        <v>1030</v>
      </c>
      <c r="J58" s="104">
        <v>0</v>
      </c>
      <c r="K58" s="104">
        <v>0</v>
      </c>
      <c r="L58" s="104">
        <v>1</v>
      </c>
      <c r="M58" s="104">
        <v>1</v>
      </c>
      <c r="N58" s="104">
        <v>1</v>
      </c>
      <c r="O58" s="110">
        <v>1</v>
      </c>
    </row>
    <row r="59" spans="2:15" ht="219" customHeight="1" x14ac:dyDescent="0.3">
      <c r="B59" s="563"/>
      <c r="C59" s="612"/>
      <c r="D59" s="183" t="str">
        <f>+D58</f>
        <v>10K</v>
      </c>
      <c r="E59" s="593"/>
      <c r="F59" s="69" t="str">
        <f>D58&amp;"_I1"</f>
        <v>10K_I1</v>
      </c>
      <c r="G59" s="70" t="s">
        <v>1823</v>
      </c>
      <c r="H59" s="56" t="s">
        <v>2031</v>
      </c>
      <c r="I59" s="56" t="s">
        <v>2032</v>
      </c>
      <c r="J59" s="104" t="s">
        <v>642</v>
      </c>
      <c r="K59" s="104" t="s">
        <v>642</v>
      </c>
      <c r="L59" s="285" t="s">
        <v>2237</v>
      </c>
      <c r="M59" s="285" t="s">
        <v>2238</v>
      </c>
      <c r="N59" s="285" t="s">
        <v>2239</v>
      </c>
      <c r="O59" s="285" t="s">
        <v>2240</v>
      </c>
    </row>
    <row r="60" spans="2:15" ht="68.25" customHeight="1" x14ac:dyDescent="0.3">
      <c r="B60" s="563"/>
      <c r="C60" s="612"/>
      <c r="D60" s="183" t="str">
        <f>+D59</f>
        <v>10K</v>
      </c>
      <c r="E60" s="593"/>
      <c r="F60" s="69" t="str">
        <f>D60&amp;"_I2"</f>
        <v>10K_I2</v>
      </c>
      <c r="G60" s="70" t="s">
        <v>1824</v>
      </c>
      <c r="H60" s="56" t="s">
        <v>2031</v>
      </c>
      <c r="I60" s="56" t="s">
        <v>2038</v>
      </c>
      <c r="J60" s="104" t="s">
        <v>642</v>
      </c>
      <c r="K60" s="104" t="s">
        <v>642</v>
      </c>
      <c r="L60" s="285" t="s">
        <v>2241</v>
      </c>
      <c r="M60" s="285" t="s">
        <v>2241</v>
      </c>
      <c r="N60" s="285" t="s">
        <v>2241</v>
      </c>
      <c r="O60" s="285" t="s">
        <v>2241</v>
      </c>
    </row>
    <row r="61" spans="2:15" ht="72.599999999999994" thickBot="1" x14ac:dyDescent="0.35">
      <c r="B61" s="564"/>
      <c r="C61" s="613"/>
      <c r="D61" s="184" t="str">
        <f>+D60</f>
        <v>10K</v>
      </c>
      <c r="E61" s="594"/>
      <c r="F61" s="73" t="str">
        <f>D61&amp;"_I3"</f>
        <v>10K_I3</v>
      </c>
      <c r="G61" s="74" t="s">
        <v>1825</v>
      </c>
      <c r="H61" s="57" t="s">
        <v>2031</v>
      </c>
      <c r="I61" s="57" t="s">
        <v>2042</v>
      </c>
      <c r="J61" s="107" t="s">
        <v>642</v>
      </c>
      <c r="K61" s="107" t="s">
        <v>642</v>
      </c>
      <c r="L61" s="286" t="s">
        <v>2242</v>
      </c>
      <c r="M61" s="286" t="s">
        <v>2243</v>
      </c>
      <c r="N61" s="286" t="s">
        <v>2244</v>
      </c>
      <c r="O61" s="286" t="s">
        <v>2245</v>
      </c>
    </row>
  </sheetData>
  <sheetProtection algorithmName="SHA-512" hashValue="LRUHDUCR1WmPphYieQzWfMmPczlx0qNSpdk7xPtCcHDZCEWMUZKiGkNh9N4mUtj6TuXHCcoAkNAdymfPyEBYdw==" saltValue="CsY/Hr1YIHi8bZv0HVy2xA==" spinCount="100000" sheet="1" formatColumns="0" formatRows="0"/>
  <protectedRanges>
    <protectedRange algorithmName="SHA-512" hashValue="hc1Jt8MO/8OpaNxK8Ec3NaaacTAMVtzRmYWx30hJ7xhHW728k2WHVygzOw0liDq1DzdKfK3FXEKnjs6viH2eOQ==" saltValue="+kIfOvHFSXJ04Y8rHVJsIw==" spinCount="100000" sqref="O57:O61" name="comunicaciones R2"/>
    <protectedRange algorithmName="SHA-512" hashValue="+rdGN0Df+HBR+WdwxlWBM+Npicvu1dttgq6rn5ZqvSxcSHsdozdHMxY2hJyCkM4Wy3gfK062XrpkVDLIMjE/dQ==" saltValue="RxTLYos7K7QViMbo34qDGg==" spinCount="100000" sqref="O32:O56" name="victimas R2"/>
    <protectedRange algorithmName="SHA-512" hashValue="uVc0W6kHlGC+TrVvjcMAzAhZqnn96gpBhCz2717hdhX9wOpLK410ARtv2FClD04i4/L5aOlHASSTbVOCPe9RjQ==" saltValue="WOgHcsGvzcB02QL7zfgWSA==" spinCount="100000" sqref="Q12:Q16 S12:V16 J32:N56 J12:O16" name="victimas R1"/>
    <protectedRange algorithmName="SHA-512" hashValue="gtjXpt1JjI4oRuS+WzNPvGEtteY8K/qS3ISf7Lz3SnGLlozhpe60FblgZllblLEyjfJxaFsWGfPKavXMJyoz4A==" saltValue="tZGnMA6yH7rOtI/kquWxJg==" spinCount="100000" sqref="J10:O11 Q10:Q11 S10:V11 O27 J22:N31" name="Alta TIC R1"/>
    <protectedRange algorithmName="SHA-512" hashValue="saQSaUABzjA297qMEU6CR2tYpRcNhq6il6xWLlO0KcryafdrvDmRZpokojxq9iuR5XsFg2qM5rKmw6OP+foGSQ==" saltValue="9k0g/qVmnRfuDOOndhVvng==" spinCount="100000" sqref="J17:O17 Q17 S17:V17 J57:N61" name="comunicaciones R1"/>
  </protectedRanges>
  <mergeCells count="44">
    <mergeCell ref="B7:D7"/>
    <mergeCell ref="B1:G1"/>
    <mergeCell ref="B2:G2"/>
    <mergeCell ref="S8:V8"/>
    <mergeCell ref="F9:G9"/>
    <mergeCell ref="J20:O20"/>
    <mergeCell ref="B22:B26"/>
    <mergeCell ref="B8:D8"/>
    <mergeCell ref="J8:O8"/>
    <mergeCell ref="E22:E26"/>
    <mergeCell ref="F17:G17"/>
    <mergeCell ref="C22:C26"/>
    <mergeCell ref="F10:G10"/>
    <mergeCell ref="F12:G12"/>
    <mergeCell ref="B12:B16"/>
    <mergeCell ref="F13:G13"/>
    <mergeCell ref="F14:G14"/>
    <mergeCell ref="F15:G15"/>
    <mergeCell ref="F16:G16"/>
    <mergeCell ref="B10:B11"/>
    <mergeCell ref="F11:G11"/>
    <mergeCell ref="B57:B61"/>
    <mergeCell ref="C57:C61"/>
    <mergeCell ref="E57:E61"/>
    <mergeCell ref="B32:B36"/>
    <mergeCell ref="E32:E36"/>
    <mergeCell ref="C32:C36"/>
    <mergeCell ref="B47:B51"/>
    <mergeCell ref="C47:C51"/>
    <mergeCell ref="E47:E51"/>
    <mergeCell ref="B37:B41"/>
    <mergeCell ref="C37:C41"/>
    <mergeCell ref="E37:E41"/>
    <mergeCell ref="B42:B46"/>
    <mergeCell ref="C42:C46"/>
    <mergeCell ref="E42:E46"/>
    <mergeCell ref="B52:B56"/>
    <mergeCell ref="C52:C56"/>
    <mergeCell ref="E52:E56"/>
    <mergeCell ref="B19:D19"/>
    <mergeCell ref="B20:D20"/>
    <mergeCell ref="B27:B31"/>
    <mergeCell ref="C27:C31"/>
    <mergeCell ref="E27:E31"/>
  </mergeCells>
  <dataValidations xWindow="325" yWindow="442" count="22">
    <dataValidation allowBlank="1" showInputMessage="1" showErrorMessage="1" prompt="Corresponde al código de la variable que se reporta. Se compone del ID del Indicador y el denotativo de la Variable (V1, V2, I1, I2, I3)" sqref="F22:F61" xr:uid="{00000000-0002-0000-0B00-000000000000}"/>
    <dataValidation allowBlank="1" showInputMessage="1" showErrorMessage="1" prompt="Corresponde a la clasificación de la variable que se reporta." sqref="I22:I61" xr:uid="{00000000-0002-0000-0B00-000001000000}"/>
    <dataValidation type="list" allowBlank="1" showInputMessage="1" showErrorMessage="1" prompt="Seleccione de la lista desplegable la Tendencia Mensual de la Meta. Para esto tenga en cuenta la evolución MENSUAL de la meta programada. Las opciones disponibles son: Constante, Creciente, Suma, Decreciente." sqref="Q10:Q17" xr:uid="{00000000-0002-0000-0B00-000002000000}">
      <formula1>"Constante,Creciente,Decreciente,Suma"</formula1>
    </dataValidation>
    <dataValidation type="list" allowBlank="1" showInputMessage="1" showErrorMessage="1" prompt="Corresponde a los ID de los indicadores del Proyecto de Inversión" sqref="D10:D11" xr:uid="{00000000-0002-0000-0B00-000003000000}">
      <formula1>INDIRECT($A$10)</formula1>
    </dataValidation>
    <dataValidation allowBlank="1" showInputMessage="1" showErrorMessage="1" prompt="Corresponde a las metas del Proyecto de Inversión" sqref="E10:E17" xr:uid="{00000000-0002-0000-0B00-000004000000}"/>
    <dataValidation allowBlank="1" showInputMessage="1" showErrorMessage="1" prompt="Corresponde a los nombres de los indicadores del Proyecto de Inversión" sqref="F10:G17" xr:uid="{00000000-0002-0000-0B00-000005000000}"/>
    <dataValidation allowBlank="1" showInputMessage="1" showErrorMessage="1" prompt="Corresponde a la tendencia anual del indicador" sqref="H10:H17" xr:uid="{00000000-0002-0000-0B00-000006000000}"/>
    <dataValidation allowBlank="1" showInputMessage="1" showErrorMessage="1" prompt="Corresponde a la unidad de medida del indicador" sqref="I10:I17" xr:uid="{00000000-0002-0000-0B00-000007000000}"/>
    <dataValidation allowBlank="1" showInputMessage="1" showErrorMessage="1" prompt="Programe la magnitud de la Meta para cada uno de los meses, tenga en cuenta la Meta total programada para la vigencia, asi como la tendencia y la unidad de medida" sqref="J28:N28 J27:O27 J10:O17" xr:uid="{00000000-0002-0000-0B00-000008000000}"/>
    <dataValidation allowBlank="1" showInputMessage="1" showErrorMessage="1" prompt="Corresponde a la Meta Programada para el 2020" sqref="P10:P17" xr:uid="{00000000-0002-0000-0B00-000009000000}"/>
    <dataValidation allowBlank="1" showInputMessage="1" showErrorMessage="1" prompt="Sólo aplica para los indicadores que cumplan estas dos condiciones: 1) Tendencia Anual = Constante o Creciente. 2) Tendencia Mensual = Suma._x000a_Corresponde a la sumatoria de las magnitudes mensuales programadas para la vigencia." sqref="R10:R17" xr:uid="{00000000-0002-0000-0B00-00000A000000}"/>
    <dataValidation allowBlank="1" showInputMessage="1" showErrorMessage="1" prompt="Diligencie la información más actualizada del indicador. En el caso que el proyecto lo requiera: se debe completar, ampliar o modificar la Descripción, las Actividades, los Beneficios y las Fuentes de Verificación que actualmente sea asocian al indicador." sqref="S10:V17" xr:uid="{00000000-0002-0000-0B00-00000B000000}"/>
    <dataValidation allowBlank="1" showInputMessage="1" showErrorMessage="1" prompt="Corresponde al nombre del Proyecto de Inversión" sqref="D3:G3" xr:uid="{00000000-0002-0000-0B00-00000C000000}"/>
    <dataValidation allowBlank="1" showInputMessage="1" showErrorMessage="1" prompt="Corresponde al nombre del funcionario que ejerce la Gerencia del Proyecto de Inversión" sqref="D4:G4" xr:uid="{00000000-0002-0000-0B00-00000D000000}"/>
    <dataValidation allowBlank="1" showInputMessage="1" showErrorMessage="1" prompt="Corresponde al funcionario encargado de realizar el seguimiento del Proyecto de Inversión" sqref="D5:G5" xr:uid="{00000000-0002-0000-0B00-00000E000000}"/>
    <dataValidation allowBlank="1" showInputMessage="1" showErrorMessage="1" prompt="Diligencie la magnitud de la variable 1 del indicador para cada uno de los meses correspondientes a la fecha de corte del reporte" sqref="J22:O22 J32:O32 J37:O37 J42:O42 J47:O47 J52:O52 J57:O57" xr:uid="{00000000-0002-0000-0B00-00000F000000}"/>
    <dataValidation allowBlank="1" showInputMessage="1" showErrorMessage="1" prompt="Diligencie la magnitud de la variable 2 del indicador para cada uno de los meses correspondientes a la fecha de corte del reporte. Este campo aplica unicamente para los indicadores que tienen variable 2." sqref="J23:O23 J33:O33 J38:O38 J43:O43 J48:O48 J53:O53 J58:O58 O28" xr:uid="{00000000-0002-0000-0B00-000010000000}"/>
    <dataValidation allowBlank="1" showInputMessage="1" showErrorMessage="1" prompt="Redacte el avance en la gestión del indicador para cada uno de los meses correspondientes a la fecha de corte del reporte" sqref="J24:O24 J34:O34 J39:O39 J44:O44 J49:O49 J54:O54 J59:O59 J29:O29" xr:uid="{00000000-0002-0000-0B00-000011000000}"/>
    <dataValidation allowBlank="1" showInputMessage="1" showErrorMessage="1" prompt="Redacte los beneficios, logros y resultados del indicador para cada uno de los meses correspondientes a la fecha de corte del reporte" sqref="J61:O61 J36:O36 J41:O41 J46:O46 J51:O51 J56:O56 J26:O26 J31:O31" xr:uid="{00000000-0002-0000-0B00-000012000000}"/>
    <dataValidation allowBlank="1" showInputMessage="1" showErrorMessage="1" prompt="Redacte las dificultades o retrasos, y soluciones propuestas del indicador para cada uno de los meses correspondientes a la fecha de corte del reporte" sqref="J25:O25 J35:O35 J40:O40 J45:O45 J50:O50 J55:O55 J60:O60 J30:O30" xr:uid="{00000000-0002-0000-0B00-000013000000}"/>
    <dataValidation type="list" allowBlank="1" showInputMessage="1" showErrorMessage="1" prompt="Corresponde a los ID de los indicadores del Proyecto de Inversión" sqref="D12:D16" xr:uid="{00000000-0002-0000-0B00-000014000000}">
      <formula1>INDIRECT($A$12)</formula1>
    </dataValidation>
    <dataValidation type="list" allowBlank="1" showInputMessage="1" showErrorMessage="1" prompt="Corresponde a los ID de los indicadores del Proyecto de Inversión" sqref="D17" xr:uid="{00000000-0002-0000-0B00-000015000000}">
      <formula1>INDIRECT($A$17)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325" yWindow="442" count="1">
        <x14:dataValidation type="list" allowBlank="1" showInputMessage="1" showErrorMessage="1" prompt="Corresponde a la(s) dependencia(s) asociada(s) al Proyecto de Inversión" xr:uid="{00000000-0002-0000-0B00-000016000000}">
          <x14:formula1>
            <xm:f>Listas!$A$4:$A$18</xm:f>
          </x14:formula1>
          <xm:sqref>B17 B10 B12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0"/>
  <dimension ref="A1:V91"/>
  <sheetViews>
    <sheetView showGridLines="0" topLeftCell="F59" zoomScale="85" zoomScaleNormal="85" workbookViewId="0">
      <selection activeCell="J62" sqref="J62:N63"/>
    </sheetView>
  </sheetViews>
  <sheetFormatPr baseColWidth="10" defaultColWidth="11.5546875" defaultRowHeight="14.4" x14ac:dyDescent="0.3"/>
  <cols>
    <col min="1" max="1" width="4.6640625" style="15" customWidth="1"/>
    <col min="2" max="3" width="29.109375" style="15" customWidth="1"/>
    <col min="4" max="4" width="13" style="15" customWidth="1"/>
    <col min="5" max="5" width="47" style="15" customWidth="1"/>
    <col min="6" max="6" width="17.33203125" style="15" customWidth="1"/>
    <col min="7" max="7" width="27.5546875" style="15" customWidth="1"/>
    <col min="8" max="8" width="20.109375" style="15" customWidth="1"/>
    <col min="9" max="9" width="27.6640625" style="15" customWidth="1"/>
    <col min="10" max="10" width="16.44140625" style="15" customWidth="1"/>
    <col min="11" max="11" width="24.44140625" style="15" customWidth="1"/>
    <col min="12" max="12" width="25.33203125" style="15" customWidth="1"/>
    <col min="13" max="14" width="16.44140625" style="15" customWidth="1"/>
    <col min="15" max="15" width="57.44140625" style="15" customWidth="1"/>
    <col min="16" max="16" width="16.44140625" style="15" customWidth="1"/>
    <col min="17" max="17" width="20.44140625" style="15" customWidth="1"/>
    <col min="18" max="18" width="21.109375" style="15" customWidth="1"/>
    <col min="19" max="19" width="37.33203125" style="15" customWidth="1"/>
    <col min="20" max="20" width="54.33203125" style="15" customWidth="1"/>
    <col min="21" max="21" width="43.109375" style="15" customWidth="1"/>
    <col min="22" max="22" width="50.33203125" style="15" customWidth="1"/>
    <col min="23" max="16384" width="11.5546875" style="15"/>
  </cols>
  <sheetData>
    <row r="1" spans="1:22" ht="23.4" x14ac:dyDescent="0.45">
      <c r="B1" s="579" t="s">
        <v>2004</v>
      </c>
      <c r="C1" s="603"/>
      <c r="D1" s="580"/>
      <c r="E1" s="580"/>
      <c r="F1" s="580"/>
      <c r="G1" s="581"/>
    </row>
    <row r="2" spans="1:22" ht="18.75" customHeight="1" x14ac:dyDescent="0.3">
      <c r="B2" s="582" t="s">
        <v>11</v>
      </c>
      <c r="C2" s="583"/>
      <c r="D2" s="583"/>
      <c r="E2" s="583"/>
      <c r="F2" s="583"/>
      <c r="G2" s="584"/>
    </row>
    <row r="6" spans="1:22" ht="15" thickBot="1" x14ac:dyDescent="0.35"/>
    <row r="7" spans="1:22" ht="18.600000000000001" thickBot="1" x14ac:dyDescent="0.4">
      <c r="B7" s="577" t="s">
        <v>2006</v>
      </c>
      <c r="C7" s="602"/>
      <c r="D7" s="578"/>
    </row>
    <row r="8" spans="1:22" ht="15" thickBot="1" x14ac:dyDescent="0.35">
      <c r="B8" s="606" t="s">
        <v>2007</v>
      </c>
      <c r="C8" s="607"/>
      <c r="D8" s="608"/>
      <c r="J8" s="597" t="s">
        <v>2008</v>
      </c>
      <c r="K8" s="598"/>
      <c r="L8" s="598"/>
      <c r="M8" s="598"/>
      <c r="N8" s="598"/>
      <c r="O8" s="599"/>
      <c r="S8" s="597" t="s">
        <v>2009</v>
      </c>
      <c r="T8" s="598"/>
      <c r="U8" s="598"/>
      <c r="V8" s="599"/>
    </row>
    <row r="9" spans="1:22" ht="31.95" customHeight="1" thickBot="1" x14ac:dyDescent="0.35">
      <c r="B9" s="168" t="s">
        <v>1868</v>
      </c>
      <c r="C9" s="180" t="s">
        <v>2073</v>
      </c>
      <c r="D9" s="169" t="s">
        <v>2010</v>
      </c>
      <c r="E9" s="436" t="s">
        <v>1792</v>
      </c>
      <c r="F9" s="572" t="s">
        <v>541</v>
      </c>
      <c r="G9" s="572"/>
      <c r="H9" s="436" t="s">
        <v>544</v>
      </c>
      <c r="I9" s="436" t="s">
        <v>413</v>
      </c>
      <c r="J9" s="436" t="s">
        <v>419</v>
      </c>
      <c r="K9" s="436" t="s">
        <v>420</v>
      </c>
      <c r="L9" s="436" t="s">
        <v>421</v>
      </c>
      <c r="M9" s="436" t="s">
        <v>422</v>
      </c>
      <c r="N9" s="436" t="s">
        <v>423</v>
      </c>
      <c r="O9" s="436" t="s">
        <v>424</v>
      </c>
      <c r="P9" s="436" t="s">
        <v>425</v>
      </c>
      <c r="Q9" s="436" t="s">
        <v>416</v>
      </c>
      <c r="R9" s="436" t="s">
        <v>417</v>
      </c>
      <c r="S9" s="436" t="s">
        <v>426</v>
      </c>
      <c r="T9" s="436" t="s">
        <v>427</v>
      </c>
      <c r="U9" s="436" t="s">
        <v>428</v>
      </c>
      <c r="V9" s="187" t="s">
        <v>429</v>
      </c>
    </row>
    <row r="10" spans="1:22" ht="87.9" customHeight="1" x14ac:dyDescent="0.3">
      <c r="A10" s="92" t="str">
        <f t="shared" ref="A10:A22" si="0">+VLOOKUP(B10,responsables,8,0)</f>
        <v>arc</v>
      </c>
      <c r="B10" s="188" t="s">
        <v>93</v>
      </c>
      <c r="C10" s="189" t="str">
        <f t="shared" ref="C10:C22" si="1">+VLOOKUP(D10,bd,MATCH("PROCESO: ",bdfila,0),0)</f>
        <v>Gestión de la Función Archivística y del patrimonio documental del Distrito Capital</v>
      </c>
      <c r="D10" s="435" t="s">
        <v>360</v>
      </c>
      <c r="E10" s="435" t="str">
        <f t="shared" ref="E10:I22" si="2">+VLOOKUP($D10,bd,MATCH(E$9,bdfila,0),0)</f>
        <v>Ejecutar Plan de trabajo de Consejo Distrital de Archivos</v>
      </c>
      <c r="F10" s="573" t="str">
        <f t="shared" ref="F10:F22" si="3">+VLOOKUP($D10,bd,MATCH(F$9,bdfila,0),0)</f>
        <v>Plan de trabajo de Consejo Distrital de Archivos ejecutado</v>
      </c>
      <c r="G10" s="573"/>
      <c r="H10" s="435" t="str">
        <f t="shared" si="2"/>
        <v>Constante</v>
      </c>
      <c r="I10" s="435" t="str">
        <f t="shared" si="2"/>
        <v>Porcentaje</v>
      </c>
      <c r="J10" s="66">
        <v>1</v>
      </c>
      <c r="K10" s="66">
        <v>0</v>
      </c>
      <c r="L10" s="66">
        <v>0</v>
      </c>
      <c r="M10" s="66">
        <v>0</v>
      </c>
      <c r="N10" s="66">
        <v>1</v>
      </c>
      <c r="O10" s="66">
        <v>1</v>
      </c>
      <c r="P10" s="121">
        <f t="shared" ref="P10:P22" si="4">+VLOOKUP($D10,bd,MATCH(P$9,bdfila,0),0)</f>
        <v>100</v>
      </c>
      <c r="Q10" s="66" t="s">
        <v>638</v>
      </c>
      <c r="R10" s="173">
        <f t="shared" ref="R10:R20" si="5">+IF(Q10="Suma",SUM(J10:O10),"")</f>
        <v>3</v>
      </c>
      <c r="S10" s="253" t="s">
        <v>2246</v>
      </c>
      <c r="T10" s="253" t="s">
        <v>2247</v>
      </c>
      <c r="U10" s="122" t="str">
        <f>+VLOOKUP($D10,bd,MATCH(U$9,BD_metas!$A$5:$DB$5,0),0)</f>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
      <c r="V10" s="123" t="s">
        <v>2248</v>
      </c>
    </row>
    <row r="11" spans="1:22" ht="65.400000000000006" customHeight="1" x14ac:dyDescent="0.3">
      <c r="A11" s="92" t="str">
        <f t="shared" si="0"/>
        <v>sta</v>
      </c>
      <c r="B11" s="81" t="s">
        <v>179</v>
      </c>
      <c r="C11" s="79" t="str">
        <f t="shared" si="1"/>
        <v>Gestión de la Función Archivística y del patrimonio documental del Distrito Capital</v>
      </c>
      <c r="D11" s="432">
        <v>21</v>
      </c>
      <c r="E11" s="432" t="str">
        <f t="shared" si="2"/>
        <v>Aumentar el índice de satisfacción ciudadana y de las entidades distritales, frente a los servicios prestados por el Archivo de Bogotá</v>
      </c>
      <c r="F11" s="566" t="str">
        <f t="shared" si="3"/>
        <v>Grado de Satisfacción de la ciudadanía frente a los servicios prestados por el Archivo Distrital</v>
      </c>
      <c r="G11" s="566"/>
      <c r="H11" s="432" t="str">
        <f t="shared" si="2"/>
        <v>Constante</v>
      </c>
      <c r="I11" s="432" t="str">
        <f t="shared" si="2"/>
        <v>Porcentaje</v>
      </c>
      <c r="J11" s="50">
        <v>98</v>
      </c>
      <c r="K11" s="50">
        <v>98</v>
      </c>
      <c r="L11" s="50">
        <v>98</v>
      </c>
      <c r="M11" s="50">
        <v>98</v>
      </c>
      <c r="N11" s="50">
        <v>98</v>
      </c>
      <c r="O11" s="50">
        <v>98</v>
      </c>
      <c r="P11" s="51">
        <f t="shared" si="4"/>
        <v>98</v>
      </c>
      <c r="Q11" s="50" t="s">
        <v>601</v>
      </c>
      <c r="R11" s="52" t="str">
        <f t="shared" si="5"/>
        <v/>
      </c>
      <c r="S11" s="93" t="str">
        <f>+VLOOKUP($D11,bd,MATCH(S$9,[4]BD_metas!$A$5:$DB$5,0),0)</f>
        <v>Mejorar el índice de satisfacción de la ciudadanía frente a los servicios prestados por el Archivo de Bogotá</v>
      </c>
      <c r="T11" s="254" t="s">
        <v>2249</v>
      </c>
      <c r="U11" s="93" t="str">
        <f>+VLOOKUP($D11,bd,MATCH(U$9,[4]BD_metas!$A$5:$DB$5,0),0)</f>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
      <c r="V11" s="255" t="s">
        <v>2250</v>
      </c>
    </row>
    <row r="12" spans="1:22" ht="65.099999999999994" customHeight="1" thickBot="1" x14ac:dyDescent="0.35">
      <c r="A12" s="92" t="str">
        <f t="shared" si="0"/>
        <v>sar</v>
      </c>
      <c r="B12" s="313" t="s">
        <v>175</v>
      </c>
      <c r="C12" s="314" t="str">
        <f t="shared" si="1"/>
        <v>Gestión de la Función Archivística y del patrimonio documental del Distrito Capital</v>
      </c>
      <c r="D12" s="439">
        <v>22</v>
      </c>
      <c r="E12" s="439" t="str">
        <f t="shared" si="2"/>
        <v>Aumentar el índice de satisfacción ciudadana y de las entidades distritales, frente a los servicios prestados por el Archivo de Bogotá</v>
      </c>
      <c r="F12" s="619" t="str">
        <f t="shared" si="3"/>
        <v>Grado de Satisfacción de las entidades distritales frente a los servicios prestados por la Dirección Distrital de Archivo</v>
      </c>
      <c r="G12" s="619"/>
      <c r="H12" s="439" t="str">
        <f t="shared" si="2"/>
        <v>Constante</v>
      </c>
      <c r="I12" s="439" t="str">
        <f t="shared" si="2"/>
        <v>Porcentaje</v>
      </c>
      <c r="J12" s="205">
        <v>98</v>
      </c>
      <c r="K12" s="205">
        <v>98</v>
      </c>
      <c r="L12" s="205">
        <v>98</v>
      </c>
      <c r="M12" s="205">
        <v>98</v>
      </c>
      <c r="N12" s="205">
        <v>98</v>
      </c>
      <c r="O12" s="205">
        <v>98</v>
      </c>
      <c r="P12" s="239">
        <f t="shared" si="4"/>
        <v>98</v>
      </c>
      <c r="Q12" s="205" t="s">
        <v>601</v>
      </c>
      <c r="R12" s="240" t="str">
        <f t="shared" si="5"/>
        <v/>
      </c>
      <c r="S12" s="241" t="str">
        <f>+VLOOKUP($D12,bd,MATCH(S$9,[4]BD_metas!$A$5:$DB$5,0),0)</f>
        <v>Mejorar el índice de satisfacción de  las entidades distritales frente a los servicios prestados por el Archivo de Bogotá</v>
      </c>
      <c r="T12" s="315" t="s">
        <v>2251</v>
      </c>
      <c r="U12" s="241" t="str">
        <f>+VLOOKUP($D12,bd,MATCH(U$9,[4]BD_metas!$A$5:$DB$5,0),0)</f>
        <v>Identificar el grado de satisfacción de las entidades frente a los servicios prestados por la Dirección Distrital de Archivo, con el fin de reunir informacion que permita una adecuada toma de desiciones para un excelente servicio a las entidades</v>
      </c>
      <c r="V12" s="316" t="s">
        <v>2252</v>
      </c>
    </row>
    <row r="13" spans="1:22" ht="43.95" customHeight="1" x14ac:dyDescent="0.3">
      <c r="A13" s="92" t="str">
        <f t="shared" si="0"/>
        <v>dri</v>
      </c>
      <c r="B13" s="576" t="s">
        <v>56</v>
      </c>
      <c r="C13" s="189" t="str">
        <f t="shared" si="1"/>
        <v>Internacionalización de Bogotá</v>
      </c>
      <c r="D13" s="435" t="s">
        <v>366</v>
      </c>
      <c r="E13" s="435" t="str">
        <f t="shared" si="2"/>
        <v>Realizar acciones de relacionamiento estratégico con redes internacionales, ciudades homólogas, estados y organizaciones internacionales</v>
      </c>
      <c r="F13" s="573" t="str">
        <f t="shared" si="3"/>
        <v>Acciones de relacionamiento estratégico con redes internacionales, ciudades homólogas, estados y organizaciones internacionales realizadas</v>
      </c>
      <c r="G13" s="573"/>
      <c r="H13" s="435" t="str">
        <f t="shared" si="2"/>
        <v>Suma</v>
      </c>
      <c r="I13" s="435" t="str">
        <f t="shared" si="2"/>
        <v>Número</v>
      </c>
      <c r="J13" s="66">
        <v>0</v>
      </c>
      <c r="K13" s="66">
        <v>0</v>
      </c>
      <c r="L13" s="66">
        <v>0</v>
      </c>
      <c r="M13" s="66">
        <v>0</v>
      </c>
      <c r="N13" s="66">
        <v>0</v>
      </c>
      <c r="O13" s="66">
        <v>5</v>
      </c>
      <c r="P13" s="121">
        <f t="shared" si="4"/>
        <v>5</v>
      </c>
      <c r="Q13" s="66" t="s">
        <v>638</v>
      </c>
      <c r="R13" s="173">
        <f t="shared" si="5"/>
        <v>5</v>
      </c>
      <c r="S13" s="253" t="e">
        <f>+VLOOKUP($D13,int_890,MATCH(S$9,[4]BD_metas!$A$5:$DB$5,0),0)</f>
        <v>#NAME?</v>
      </c>
      <c r="T13" s="253" t="s">
        <v>2253</v>
      </c>
      <c r="U13" s="253" t="e">
        <f>+VLOOKUP($D13,int_890,MATCH(U$9,[4]BD_metas!$A$5:$DB$5,0),0)</f>
        <v>#NAME?</v>
      </c>
      <c r="V13" s="277" t="s">
        <v>2254</v>
      </c>
    </row>
    <row r="14" spans="1:22" ht="71.25" customHeight="1" x14ac:dyDescent="0.3">
      <c r="A14" s="92" t="e">
        <f t="shared" si="0"/>
        <v>#N/A</v>
      </c>
      <c r="B14" s="563"/>
      <c r="C14" s="79" t="str">
        <f t="shared" si="1"/>
        <v>Internacionalización de Bogotá</v>
      </c>
      <c r="D14" s="432" t="s">
        <v>367</v>
      </c>
      <c r="E14" s="432" t="str">
        <f t="shared" si="2"/>
        <v>Prestar asesorías o asistencias técnicas a los sectores y entidades distritales en materia de internacionalización</v>
      </c>
      <c r="F14" s="566" t="str">
        <f t="shared" si="3"/>
        <v>Asesorías o asistencias técnicas a los sectores y entidades distritales en materia de internacionalización prestadas</v>
      </c>
      <c r="G14" s="566"/>
      <c r="H14" s="432" t="str">
        <f t="shared" si="2"/>
        <v>Suma</v>
      </c>
      <c r="I14" s="432" t="str">
        <f t="shared" si="2"/>
        <v>Número</v>
      </c>
      <c r="J14" s="50">
        <v>0</v>
      </c>
      <c r="K14" s="50">
        <v>0</v>
      </c>
      <c r="L14" s="50">
        <v>0</v>
      </c>
      <c r="M14" s="50">
        <v>0</v>
      </c>
      <c r="N14" s="50">
        <v>0</v>
      </c>
      <c r="O14" s="104">
        <v>6</v>
      </c>
      <c r="P14" s="51">
        <f t="shared" si="4"/>
        <v>6</v>
      </c>
      <c r="Q14" s="50" t="s">
        <v>638</v>
      </c>
      <c r="R14" s="52">
        <f t="shared" si="5"/>
        <v>6</v>
      </c>
      <c r="S14" s="254" t="e">
        <f>+VLOOKUP($D14,int_890,MATCH(S$9,[4]BD_metas!$A$5:$DB$5,0),0)</f>
        <v>#NAME?</v>
      </c>
      <c r="T14" s="254" t="s">
        <v>2255</v>
      </c>
      <c r="U14" s="254" t="e">
        <f>+VLOOKUP($D14,int_890,MATCH(U$9,[4]BD_metas!$A$5:$DB$5,0),0)</f>
        <v>#NAME?</v>
      </c>
      <c r="V14" s="255" t="s">
        <v>2254</v>
      </c>
    </row>
    <row r="15" spans="1:22" ht="43.95" hidden="1" customHeight="1" x14ac:dyDescent="0.3">
      <c r="A15" s="92" t="e">
        <f t="shared" si="0"/>
        <v>#N/A</v>
      </c>
      <c r="B15" s="563"/>
      <c r="C15" s="79" t="str">
        <f t="shared" si="1"/>
        <v>Internacionalización de Bogotá</v>
      </c>
      <c r="D15" s="432" t="s">
        <v>368</v>
      </c>
      <c r="E15" s="432" t="str">
        <f t="shared" si="2"/>
        <v>Alcanzar el 85% o más de satisfacción en los servicios prestados por la Dirección de Relaciones Internacionales</v>
      </c>
      <c r="F15" s="566" t="str">
        <f t="shared" si="3"/>
        <v>Grado de Satisfacción de los servicios prestados por la Dirección de Relaciones Internacionales</v>
      </c>
      <c r="G15" s="566"/>
      <c r="H15" s="432" t="str">
        <f t="shared" si="2"/>
        <v>Constante</v>
      </c>
      <c r="I15" s="432" t="str">
        <f t="shared" si="2"/>
        <v>Porcentaje</v>
      </c>
      <c r="J15" s="104"/>
      <c r="K15" s="104"/>
      <c r="L15" s="104"/>
      <c r="M15" s="104"/>
      <c r="N15" s="104"/>
      <c r="O15" s="104"/>
      <c r="P15" s="51" t="str">
        <f t="shared" si="4"/>
        <v>No Disponible / No Aplica</v>
      </c>
      <c r="Q15" s="50" t="s">
        <v>601</v>
      </c>
      <c r="R15" s="52" t="str">
        <f t="shared" si="5"/>
        <v/>
      </c>
      <c r="S15" s="93">
        <f>+VLOOKUP($D15,bd,MATCH(S$9,BD_metas!$A$5:$DB$5,0),0)</f>
        <v>0</v>
      </c>
      <c r="T15" s="93">
        <f>+VLOOKUP($D15,bd,MATCH(T$9,BD_metas!$A$5:$DB$5,0),0)</f>
        <v>0</v>
      </c>
      <c r="U15" s="93" t="str">
        <f>+VLOOKUP($D15,bd,MATCH(U$9,BD_metas!$A$5:$DB$5,0),0)</f>
        <v>Tener un referente para tomar accionaes encaminadas a realizar mejoras en la prestación de servcios del proceso "Internacionalización de Bogotá"</v>
      </c>
      <c r="V15" s="94" t="str">
        <f>+VLOOKUP($D15,bd,MATCH(V$9,BD_metas!$A$5:$DB$5,0),0)</f>
        <v>Reportes periódicos a la Oficina Asesora de Planeación con el análisis y resultado de la aplicación de las encuestas.
Encuentas aplicadas</v>
      </c>
    </row>
    <row r="16" spans="1:22" ht="43.95" customHeight="1" thickBot="1" x14ac:dyDescent="0.35">
      <c r="A16" s="92" t="str">
        <f t="shared" si="0"/>
        <v>spi</v>
      </c>
      <c r="B16" s="431" t="s">
        <v>171</v>
      </c>
      <c r="C16" s="80" t="str">
        <f t="shared" si="1"/>
        <v>Internacionalización de Bogotá</v>
      </c>
      <c r="D16" s="433">
        <v>49</v>
      </c>
      <c r="E16" s="433" t="str">
        <f t="shared" si="2"/>
        <v xml:space="preserve">Desarrollar foros, eventos o campañas de carácter internacional </v>
      </c>
      <c r="F16" s="567" t="str">
        <f t="shared" si="3"/>
        <v>Foros, eventos o campañas de carácter internacional desarrollados</v>
      </c>
      <c r="G16" s="567"/>
      <c r="H16" s="433" t="str">
        <f t="shared" si="2"/>
        <v>Suma</v>
      </c>
      <c r="I16" s="433" t="str">
        <f t="shared" si="2"/>
        <v>Número</v>
      </c>
      <c r="J16" s="53">
        <v>0</v>
      </c>
      <c r="K16" s="53">
        <v>0</v>
      </c>
      <c r="L16" s="53">
        <v>0</v>
      </c>
      <c r="M16" s="53">
        <v>0</v>
      </c>
      <c r="N16" s="53">
        <v>0</v>
      </c>
      <c r="O16" s="53">
        <v>2</v>
      </c>
      <c r="P16" s="54">
        <f t="shared" si="4"/>
        <v>2</v>
      </c>
      <c r="Q16" s="53" t="s">
        <v>638</v>
      </c>
      <c r="R16" s="55">
        <f t="shared" si="5"/>
        <v>2</v>
      </c>
      <c r="S16" s="256" t="str">
        <f>+VLOOKUP($D16,bd,MATCH(S$9,[4]BD_metas!$A$5:$DB$5,0),0)</f>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
      <c r="T16" s="256" t="s">
        <v>2256</v>
      </c>
      <c r="U16" s="256" t="str">
        <f>+VLOOKUP($D16,bd,MATCH(U$9,[4]BD_metas!$A$5:$DB$5,0),0)</f>
        <v>Posicionar a Bogotá cómo referente internacional a través de sus Buenas Prácticas o experiencias exitosas, en las lineas estratégicas del PDD.</v>
      </c>
      <c r="V16" s="257" t="s">
        <v>2254</v>
      </c>
    </row>
    <row r="17" spans="1:22" ht="43.95" customHeight="1" x14ac:dyDescent="0.3">
      <c r="A17" s="92" t="str">
        <f t="shared" si="0"/>
        <v>ddi</v>
      </c>
      <c r="B17" s="562" t="s">
        <v>99</v>
      </c>
      <c r="C17" s="195" t="str">
        <f t="shared" si="1"/>
        <v>Fortalecimiento de la administración y la gestión pública Distrital</v>
      </c>
      <c r="D17" s="434" t="s">
        <v>363</v>
      </c>
      <c r="E17" s="434" t="str">
        <f t="shared" si="2"/>
        <v xml:space="preserve">Aumentar el índice de satisfacción de los servidores formados </v>
      </c>
      <c r="F17" s="565" t="str">
        <f t="shared" si="3"/>
        <v xml:space="preserve">Grado de Satisfacción de los servidores formados </v>
      </c>
      <c r="G17" s="565"/>
      <c r="H17" s="434" t="str">
        <f t="shared" si="2"/>
        <v>Constante</v>
      </c>
      <c r="I17" s="434" t="str">
        <f t="shared" si="2"/>
        <v>Porcentaje</v>
      </c>
      <c r="J17" s="126">
        <v>0</v>
      </c>
      <c r="K17" s="126">
        <v>0</v>
      </c>
      <c r="L17" s="126">
        <v>0</v>
      </c>
      <c r="M17" s="126">
        <v>0</v>
      </c>
      <c r="N17" s="126">
        <v>0</v>
      </c>
      <c r="O17" s="126">
        <v>80</v>
      </c>
      <c r="P17" s="170">
        <f t="shared" si="4"/>
        <v>80</v>
      </c>
      <c r="Q17" s="126" t="s">
        <v>601</v>
      </c>
      <c r="R17" s="171" t="str">
        <f t="shared" si="5"/>
        <v/>
      </c>
      <c r="S17" s="172" t="str">
        <f>+VLOOKUP($D17,bd,MATCH(S$9,BD_metas!$A$5:$DB$5,0),0)</f>
        <v xml:space="preserve">Establecer el grado de  satisfacción de los servidores formados </v>
      </c>
      <c r="T17" s="172">
        <f>+VLOOKUP($D17,bd,MATCH(T$9,BD_metas!$A$5:$DB$5,0),0)</f>
        <v>0</v>
      </c>
      <c r="U17" s="172" t="str">
        <f>+VLOOKUP($D17,bd,MATCH(U$9,BD_metas!$A$5:$DB$5,0),0)</f>
        <v xml:space="preserve">Conocer la percepión de los servidores públicos formados  para realizar mejorar en los proceso de la estrategia del programa de formación </v>
      </c>
      <c r="V17" s="174" t="str">
        <f>+VLOOKUP($D17,bd,MATCH(V$9,BD_metas!$A$5:$DB$5,0),0)</f>
        <v>Encuesta de satisfacción
Informe de análisis de la encuesta</v>
      </c>
    </row>
    <row r="18" spans="1:22" ht="43.95" customHeight="1" thickBot="1" x14ac:dyDescent="0.35">
      <c r="A18" s="92" t="e">
        <f t="shared" si="0"/>
        <v>#N/A</v>
      </c>
      <c r="B18" s="564"/>
      <c r="C18" s="80" t="str">
        <f t="shared" si="1"/>
        <v>Fortalecimiento de la administración y la gestión pública Distrital</v>
      </c>
      <c r="D18" s="433" t="s">
        <v>365</v>
      </c>
      <c r="E18" s="433" t="str">
        <f t="shared" si="2"/>
        <v xml:space="preserve">Aumentar el índice de satisfacción de las entidades distritales, frente a los servicios prestados </v>
      </c>
      <c r="F18" s="567" t="str">
        <f t="shared" si="3"/>
        <v xml:space="preserve">Grado de Satisfacción de las entidades distritales frente a los servicios prestados </v>
      </c>
      <c r="G18" s="567"/>
      <c r="H18" s="433" t="str">
        <f t="shared" si="2"/>
        <v>Constante</v>
      </c>
      <c r="I18" s="433" t="str">
        <f t="shared" si="2"/>
        <v>Porcentaje</v>
      </c>
      <c r="J18" s="107">
        <v>0</v>
      </c>
      <c r="K18" s="107">
        <v>0</v>
      </c>
      <c r="L18" s="107">
        <v>0</v>
      </c>
      <c r="M18" s="107">
        <v>0</v>
      </c>
      <c r="N18" s="107">
        <v>0</v>
      </c>
      <c r="O18" s="107">
        <v>80</v>
      </c>
      <c r="P18" s="54">
        <f t="shared" si="4"/>
        <v>80</v>
      </c>
      <c r="Q18" s="53" t="s">
        <v>601</v>
      </c>
      <c r="R18" s="55" t="str">
        <f t="shared" si="5"/>
        <v/>
      </c>
      <c r="S18" s="95" t="str">
        <f>+VLOOKUP($D18,bd,MATCH(S$9,BD_metas!$A$5:$DB$5,0),0)</f>
        <v xml:space="preserve">Establecer el grado de  de satisfacción de  las entidades distritales frente a los servicios prestados </v>
      </c>
      <c r="T18" s="95">
        <f>+VLOOKUP($D18,bd,MATCH(T$9,BD_metas!$A$5:$DB$5,0),0)</f>
        <v>0</v>
      </c>
      <c r="U18" s="95" t="str">
        <f>+VLOOKUP($D18,bd,MATCH(U$9,BD_metas!$A$5:$DB$5,0),0)</f>
        <v>Conocer la percepión de las entidades públicas que han requeridos servicios para realizar la mejora de la oferta institucional</v>
      </c>
      <c r="V18" s="96" t="str">
        <f>+VLOOKUP($D18,bd,MATCH(V$9,BD_metas!$A$5:$DB$5,0),0)</f>
        <v>Encuesta de satisfacción
Informe de análisis de la encuesta</v>
      </c>
    </row>
    <row r="19" spans="1:22" ht="43.95" hidden="1" customHeight="1" x14ac:dyDescent="0.3">
      <c r="A19" s="92" t="str">
        <f t="shared" si="0"/>
        <v>std</v>
      </c>
      <c r="B19" s="624" t="s">
        <v>199</v>
      </c>
      <c r="C19" s="189" t="str">
        <f t="shared" si="1"/>
        <v>No Aplica</v>
      </c>
      <c r="D19" s="435" t="s">
        <v>371</v>
      </c>
      <c r="E19" s="435" t="str">
        <f t="shared" si="2"/>
        <v>Elaborar documentos técnicos para la implementación del Modelo Integrado de Planeación y Gestión - MIPG en las entidades distritales</v>
      </c>
      <c r="F19" s="573" t="str">
        <f t="shared" si="3"/>
        <v>[ELIMINADO] Documentos técnicos para la implementación del Modelo Integrado de Planeación y Gestión - MIPG en las entidades distritales.</v>
      </c>
      <c r="G19" s="573"/>
      <c r="H19" s="435" t="str">
        <f t="shared" si="2"/>
        <v>Suma</v>
      </c>
      <c r="I19" s="435" t="str">
        <f t="shared" si="2"/>
        <v>Número</v>
      </c>
      <c r="J19" s="66"/>
      <c r="K19" s="66"/>
      <c r="L19" s="66"/>
      <c r="M19" s="66"/>
      <c r="N19" s="66"/>
      <c r="O19" s="66"/>
      <c r="P19" s="121">
        <f t="shared" si="4"/>
        <v>1</v>
      </c>
      <c r="Q19" s="66" t="s">
        <v>638</v>
      </c>
      <c r="R19" s="173">
        <f t="shared" si="5"/>
        <v>0</v>
      </c>
      <c r="S19" s="122" t="str">
        <f>+VLOOKUP($D19,bd,MATCH(S$9,BD_metas!$A$5:$DB$5,0),0)</f>
        <v>Verificar el cumplimiento en la elaboración de los Documentos Técnicos establecidos para la vigencia</v>
      </c>
      <c r="T19" s="122" t="str">
        <f>+VLOOKUP($D19,bd,MATCH(T$9,BD_metas!$A$5:$DB$5,0),0)</f>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U19" s="122" t="str">
        <f>+VLOOKUP($D19,bd,MATCH(U$9,BD_metas!$A$5:$DB$5,0),0)</f>
        <v xml:space="preserve">Orientar a través de Documentos Técnicos a las entidades distritales frente a la simplificación de procesos y Buenas Prácticas en Integridad. </v>
      </c>
      <c r="V19" s="123" t="str">
        <f>+VLOOKUP($D19,bd,MATCH(V$9,BD_metas!$A$5:$DB$5,0),0)</f>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
    </row>
    <row r="20" spans="1:22" ht="43.95" hidden="1" customHeight="1" thickBot="1" x14ac:dyDescent="0.35">
      <c r="A20" s="92" t="e">
        <f t="shared" si="0"/>
        <v>#N/A</v>
      </c>
      <c r="B20" s="625"/>
      <c r="C20" s="80" t="str">
        <f t="shared" si="1"/>
        <v>No Aplica</v>
      </c>
      <c r="D20" s="433">
        <v>37</v>
      </c>
      <c r="E20" s="433" t="str">
        <f t="shared" si="2"/>
        <v>Generación de información de calidad para la prevención de prácticas corruptas en la ciudad.</v>
      </c>
      <c r="F20" s="567" t="str">
        <f t="shared" si="3"/>
        <v>[ELIMINADO] Porcentaje de avance en la implementación del Banco de buenas prácticas en materia de transparencia en las entidades distritales</v>
      </c>
      <c r="G20" s="567"/>
      <c r="H20" s="433" t="str">
        <f t="shared" si="2"/>
        <v>Creciente</v>
      </c>
      <c r="I20" s="433" t="str">
        <f t="shared" si="2"/>
        <v>Porcentaje</v>
      </c>
      <c r="J20" s="53"/>
      <c r="K20" s="53"/>
      <c r="L20" s="53"/>
      <c r="M20" s="53"/>
      <c r="N20" s="53"/>
      <c r="O20" s="53"/>
      <c r="P20" s="54">
        <f t="shared" si="4"/>
        <v>50</v>
      </c>
      <c r="Q20" s="53" t="s">
        <v>638</v>
      </c>
      <c r="R20" s="55">
        <f t="shared" si="5"/>
        <v>0</v>
      </c>
      <c r="S20" s="95" t="str">
        <f>+VLOOKUP($D20,bd,MATCH(S$9,BD_metas!$A$5:$DB$5,0),0)</f>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
      <c r="T20" s="95" t="str">
        <f>+VLOOKUP($D20,bd,MATCH(T$9,BD_metas!$A$5:$DB$5,0),0)</f>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U20" s="95">
        <f>+VLOOKUP($D20,bd,MATCH(U$9,BD_metas!$A$5:$DB$5,0),0)</f>
        <v>0</v>
      </c>
      <c r="V20" s="96" t="str">
        <f>+VLOOKUP($D20,bd,MATCH(V$9,BD_metas!$A$5:$DB$5,0),0)</f>
        <v>Informes de resultado realizados por la Dirección Distrital de Desarrollo Institucional de la Secretaría General</v>
      </c>
    </row>
    <row r="21" spans="1:22" ht="43.95" hidden="1" customHeight="1" thickBot="1" x14ac:dyDescent="0.35">
      <c r="A21" s="92" t="str">
        <f t="shared" si="0"/>
        <v>imp</v>
      </c>
      <c r="B21" s="440" t="s">
        <v>111</v>
      </c>
      <c r="C21" s="190" t="str">
        <f t="shared" si="1"/>
        <v>No Aplica</v>
      </c>
      <c r="D21" s="437" t="s">
        <v>369</v>
      </c>
      <c r="E21" s="437" t="str">
        <f t="shared" si="2"/>
        <v>Desarrollar el Plan de modernización de la imprenta distrital</v>
      </c>
      <c r="F21" s="596" t="str">
        <f t="shared" si="3"/>
        <v>Plan de modernización de la imprenta distrital desarrollado</v>
      </c>
      <c r="G21" s="596"/>
      <c r="H21" s="437" t="str">
        <f t="shared" si="2"/>
        <v>Suma</v>
      </c>
      <c r="I21" s="437" t="str">
        <f t="shared" si="2"/>
        <v>Porcentaje</v>
      </c>
      <c r="J21" s="175"/>
      <c r="K21" s="175"/>
      <c r="L21" s="175"/>
      <c r="M21" s="175"/>
      <c r="N21" s="175"/>
      <c r="O21" s="175"/>
      <c r="P21" s="176">
        <f t="shared" si="4"/>
        <v>0</v>
      </c>
      <c r="Q21" s="175" t="s">
        <v>638</v>
      </c>
      <c r="R21" s="177">
        <f>+IF(Q21="Suma",SUM(J21:O21),"")</f>
        <v>0</v>
      </c>
      <c r="S21" s="178" t="str">
        <f>+VLOOKUP($D21,bd,MATCH(S$9,BD_metas!$A$5:$DB$5,0),0)</f>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
      <c r="T21" s="178" t="str">
        <f>+VLOOKUP($D21,bd,MATCH(T$9,BD_metas!$A$5:$DB$5,0),0)</f>
        <v>1. Adquirir y poner en funcionamiento 2 maquinas para la imprenta distrital
2. Modernizar la solución tecnológica para el proceso de registro distrital
3. Desarrollar las obras de reforzamiento estructural y adecuación de la imprenta distrital</v>
      </c>
      <c r="U21" s="178" t="str">
        <f>+VLOOKUP($D21,bd,MATCH(U$9,BD_metas!$A$5:$DB$5,0),0)</f>
        <v xml:space="preserve">Modernizar la Imprenta Distrital para mejorar y ampliar los servicios que presta.
Mejorar la experiencia de la ciudadanía con enfoque diferencial y preferencial, en su relación con la administración distrital. </v>
      </c>
      <c r="V21" s="179" t="str">
        <f>+VLOOKUP($D21,bd,MATCH(V$9,BD_metas!$A$5:$DB$5,0),0)</f>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
    </row>
    <row r="22" spans="1:22" ht="78" customHeight="1" thickBot="1" x14ac:dyDescent="0.35">
      <c r="A22" s="92" t="str">
        <f t="shared" si="0"/>
        <v>tec</v>
      </c>
      <c r="B22" s="440" t="s">
        <v>83</v>
      </c>
      <c r="C22" s="190" t="str">
        <f t="shared" si="1"/>
        <v>No Aplica</v>
      </c>
      <c r="D22" s="437" t="s">
        <v>372</v>
      </c>
      <c r="E22" s="437" t="str">
        <f t="shared" si="2"/>
        <v xml:space="preserve">Generar informes técnicos de coordinación de la Subsecretaria Técnica. </v>
      </c>
      <c r="F22" s="596" t="str">
        <f t="shared" si="3"/>
        <v>Informes técnicos de coordinación de la Subsecretaria Técnica, generados.</v>
      </c>
      <c r="G22" s="596"/>
      <c r="H22" s="437" t="str">
        <f t="shared" si="2"/>
        <v>Suma</v>
      </c>
      <c r="I22" s="437" t="str">
        <f t="shared" si="2"/>
        <v>Número</v>
      </c>
      <c r="J22" s="175">
        <v>0</v>
      </c>
      <c r="K22" s="175">
        <v>0</v>
      </c>
      <c r="L22" s="175">
        <v>1</v>
      </c>
      <c r="M22" s="175">
        <v>0</v>
      </c>
      <c r="N22" s="175">
        <v>0</v>
      </c>
      <c r="O22" s="175">
        <v>1</v>
      </c>
      <c r="P22" s="176">
        <f t="shared" si="4"/>
        <v>2</v>
      </c>
      <c r="Q22" s="175" t="s">
        <v>638</v>
      </c>
      <c r="R22" s="177">
        <f>+IF(Q22="Suma",SUM(J22:O22),"")</f>
        <v>2</v>
      </c>
      <c r="S22" s="178" t="s">
        <v>2257</v>
      </c>
      <c r="T22" s="178" t="s">
        <v>2258</v>
      </c>
      <c r="U22" s="178" t="s">
        <v>2259</v>
      </c>
      <c r="V22" s="179" t="s">
        <v>2260</v>
      </c>
    </row>
    <row r="23" spans="1:22" ht="15" thickBot="1" x14ac:dyDescent="0.35"/>
    <row r="24" spans="1:22" ht="18.600000000000001" customHeight="1" thickBot="1" x14ac:dyDescent="0.4">
      <c r="B24" s="568" t="s">
        <v>2017</v>
      </c>
      <c r="C24" s="595"/>
      <c r="D24" s="569"/>
    </row>
    <row r="25" spans="1:22" ht="15" thickBot="1" x14ac:dyDescent="0.35">
      <c r="B25" s="570" t="s">
        <v>2018</v>
      </c>
      <c r="C25" s="605"/>
      <c r="D25" s="571"/>
      <c r="J25" s="616" t="s">
        <v>2019</v>
      </c>
      <c r="K25" s="617"/>
      <c r="L25" s="617"/>
      <c r="M25" s="617"/>
      <c r="N25" s="617"/>
      <c r="O25" s="618"/>
    </row>
    <row r="26" spans="1:22" ht="29.4" customHeight="1" thickBot="1" x14ac:dyDescent="0.35">
      <c r="B26" s="58" t="s">
        <v>1868</v>
      </c>
      <c r="C26" s="181" t="s">
        <v>2073</v>
      </c>
      <c r="D26" s="59" t="s">
        <v>2010</v>
      </c>
      <c r="E26" s="59" t="s">
        <v>1792</v>
      </c>
      <c r="F26" s="59" t="s">
        <v>2020</v>
      </c>
      <c r="G26" s="59" t="s">
        <v>2021</v>
      </c>
      <c r="H26" s="59" t="s">
        <v>2022</v>
      </c>
      <c r="I26" s="59" t="s">
        <v>2023</v>
      </c>
      <c r="J26" s="60" t="s">
        <v>391</v>
      </c>
      <c r="K26" s="60" t="s">
        <v>392</v>
      </c>
      <c r="L26" s="60" t="s">
        <v>393</v>
      </c>
      <c r="M26" s="60" t="s">
        <v>394</v>
      </c>
      <c r="N26" s="61" t="s">
        <v>395</v>
      </c>
      <c r="O26" s="61" t="s">
        <v>396</v>
      </c>
    </row>
    <row r="27" spans="1:22" ht="35.25" customHeight="1" x14ac:dyDescent="0.3">
      <c r="B27" s="576" t="str">
        <f>+VLOOKUP(D27,bd,MATCH("Área o dependencia",bdfila,0),0)</f>
        <v xml:space="preserve">Dirección Distrital de Archivo </v>
      </c>
      <c r="C27" s="623" t="str">
        <f>+VLOOKUP(D27,bd,MATCH("PROCESO: ",bdfila,0),0)</f>
        <v>Gestión de la Función Archivística y del patrimonio documental del Distrito Capital</v>
      </c>
      <c r="D27" s="442" t="str">
        <f>D10</f>
        <v>19C</v>
      </c>
      <c r="E27" s="573" t="str">
        <f>+VLOOKUP($D27,bd,MATCH(E$9,bdfila,0),0)</f>
        <v>Ejecutar Plan de trabajo de Consejo Distrital de Archivos</v>
      </c>
      <c r="F27" s="63" t="str">
        <f>D27&amp;"_V1"</f>
        <v>19C_V1</v>
      </c>
      <c r="G27" s="64" t="str">
        <f>+VLOOKUP(D27,bd,MATCH(I27,BD_metas!$A$5:$DB$5,0),0)</f>
        <v>Hitos del Plan de trabajo ejecutados</v>
      </c>
      <c r="H27" s="65" t="s">
        <v>2030</v>
      </c>
      <c r="I27" s="65" t="s">
        <v>1029</v>
      </c>
      <c r="J27" s="66">
        <v>1</v>
      </c>
      <c r="K27" s="66">
        <v>0</v>
      </c>
      <c r="L27" s="66">
        <v>0</v>
      </c>
      <c r="M27" s="66">
        <v>0</v>
      </c>
      <c r="N27" s="191">
        <v>1</v>
      </c>
      <c r="O27" s="67">
        <v>1</v>
      </c>
    </row>
    <row r="28" spans="1:22" ht="35.25" customHeight="1" x14ac:dyDescent="0.3">
      <c r="B28" s="563"/>
      <c r="C28" s="621"/>
      <c r="D28" s="183" t="str">
        <f>+D27</f>
        <v>19C</v>
      </c>
      <c r="E28" s="566"/>
      <c r="F28" s="69" t="str">
        <f>D28&amp;"_V2"</f>
        <v>19C_V2</v>
      </c>
      <c r="G28" s="70" t="str">
        <f>+VLOOKUP(D28,bd,MATCH(I28,BD_metas!$A$5:$DB$5,0),0)</f>
        <v>Hitos del Plan de trabajo programados</v>
      </c>
      <c r="H28" s="56" t="s">
        <v>2030</v>
      </c>
      <c r="I28" s="56" t="s">
        <v>1030</v>
      </c>
      <c r="J28" s="50">
        <v>1</v>
      </c>
      <c r="K28" s="50">
        <v>0</v>
      </c>
      <c r="L28" s="50">
        <v>0</v>
      </c>
      <c r="M28" s="50">
        <v>0</v>
      </c>
      <c r="N28" s="192">
        <v>1</v>
      </c>
      <c r="O28" s="71">
        <v>1</v>
      </c>
    </row>
    <row r="29" spans="1:22" ht="35.25" customHeight="1" x14ac:dyDescent="0.3">
      <c r="B29" s="563"/>
      <c r="C29" s="621"/>
      <c r="D29" s="183" t="str">
        <f>+D28</f>
        <v>19C</v>
      </c>
      <c r="E29" s="566"/>
      <c r="F29" s="69" t="str">
        <f>D28&amp;"_I1"</f>
        <v>19C_I1</v>
      </c>
      <c r="G29" s="70" t="s">
        <v>1823</v>
      </c>
      <c r="H29" s="56" t="s">
        <v>2031</v>
      </c>
      <c r="I29" s="56" t="s">
        <v>2032</v>
      </c>
      <c r="J29" s="258" t="s">
        <v>2261</v>
      </c>
      <c r="K29" s="258" t="s">
        <v>2262</v>
      </c>
      <c r="L29" s="258" t="s">
        <v>2263</v>
      </c>
      <c r="M29" s="258" t="s">
        <v>2264</v>
      </c>
      <c r="N29" s="259" t="s">
        <v>2265</v>
      </c>
      <c r="O29" s="402" t="s">
        <v>2266</v>
      </c>
    </row>
    <row r="30" spans="1:22" ht="35.25" customHeight="1" x14ac:dyDescent="0.3">
      <c r="B30" s="563"/>
      <c r="C30" s="621"/>
      <c r="D30" s="183" t="str">
        <f>+D29</f>
        <v>19C</v>
      </c>
      <c r="E30" s="566"/>
      <c r="F30" s="69" t="str">
        <f>D30&amp;"_I2"</f>
        <v>19C_I2</v>
      </c>
      <c r="G30" s="70" t="s">
        <v>1824</v>
      </c>
      <c r="H30" s="56" t="s">
        <v>2031</v>
      </c>
      <c r="I30" s="56" t="s">
        <v>2038</v>
      </c>
      <c r="J30" s="258" t="s">
        <v>2267</v>
      </c>
      <c r="K30" s="50" t="s">
        <v>1144</v>
      </c>
      <c r="L30" s="258" t="s">
        <v>2268</v>
      </c>
      <c r="M30" s="50" t="s">
        <v>1144</v>
      </c>
      <c r="N30" s="259" t="s">
        <v>1144</v>
      </c>
      <c r="O30" s="259" t="s">
        <v>1144</v>
      </c>
    </row>
    <row r="31" spans="1:22" ht="69.599999999999994" customHeight="1" thickBot="1" x14ac:dyDescent="0.35">
      <c r="B31" s="564"/>
      <c r="C31" s="622"/>
      <c r="D31" s="184" t="str">
        <f>+D30</f>
        <v>19C</v>
      </c>
      <c r="E31" s="567"/>
      <c r="F31" s="73" t="str">
        <f>D31&amp;"_I3"</f>
        <v>19C_I3</v>
      </c>
      <c r="G31" s="74" t="s">
        <v>1825</v>
      </c>
      <c r="H31" s="57" t="s">
        <v>2031</v>
      </c>
      <c r="I31" s="57" t="s">
        <v>2042</v>
      </c>
      <c r="J31" s="260" t="s">
        <v>2269</v>
      </c>
      <c r="K31" s="260" t="s">
        <v>2270</v>
      </c>
      <c r="L31" s="260" t="s">
        <v>2271</v>
      </c>
      <c r="M31" s="260" t="s">
        <v>2272</v>
      </c>
      <c r="N31" s="261" t="s">
        <v>2273</v>
      </c>
      <c r="O31" s="403" t="s">
        <v>2274</v>
      </c>
    </row>
    <row r="32" spans="1:22" ht="51.75" customHeight="1" x14ac:dyDescent="0.3">
      <c r="B32" s="562" t="str">
        <f>+VLOOKUP(D32,bd,MATCH("Área o dependencia",bdfila,0),0)</f>
        <v>Subdirección Técnica de Archivo</v>
      </c>
      <c r="C32" s="621" t="str">
        <f>+VLOOKUP(D32,bd,MATCH("PROCESO: ",bdfila,0),0)</f>
        <v>Gestión de la Función Archivística y del patrimonio documental del Distrito Capital</v>
      </c>
      <c r="D32" s="443">
        <f>D11</f>
        <v>21</v>
      </c>
      <c r="E32" s="565" t="str">
        <f>+VLOOKUP($D32,bd,MATCH(E$9,bdfila,0),0)</f>
        <v>Aumentar el índice de satisfacción ciudadana y de las entidades distritales, frente a los servicios prestados por el Archivo de Bogotá</v>
      </c>
      <c r="F32" s="77" t="str">
        <f>D32&amp;"_V1"</f>
        <v>21_V1</v>
      </c>
      <c r="G32" s="124" t="str">
        <f>+VLOOKUP(D32,bd,MATCH(I32,BD_metas!$A$5:$DB$5,0),0)</f>
        <v>Promedio de evaluación de la Encuesta de Satisfacción de los servicios prestados a la ciudadanía</v>
      </c>
      <c r="H32" s="78" t="s">
        <v>2030</v>
      </c>
      <c r="I32" s="78" t="s">
        <v>1029</v>
      </c>
      <c r="J32" s="126">
        <v>98</v>
      </c>
      <c r="K32" s="126">
        <v>95</v>
      </c>
      <c r="L32" s="126">
        <v>97</v>
      </c>
      <c r="M32" s="126">
        <v>0</v>
      </c>
      <c r="N32" s="194">
        <v>0</v>
      </c>
      <c r="O32" s="128">
        <v>0</v>
      </c>
    </row>
    <row r="33" spans="2:15" ht="35.25" customHeight="1" x14ac:dyDescent="0.3">
      <c r="B33" s="563"/>
      <c r="C33" s="621"/>
      <c r="D33" s="183">
        <f>+D32</f>
        <v>21</v>
      </c>
      <c r="E33" s="566"/>
      <c r="F33" s="69" t="str">
        <f>D33&amp;"_V2"</f>
        <v>21_V2</v>
      </c>
      <c r="G33" s="70" t="str">
        <f>+VLOOKUP(D33,bd,MATCH(I33,BD_metas!$A$5:$DB$5,0),0)</f>
        <v>Porcentaje máximo de satisfacción de la ciudadanía frente a los servicios prestados por el Archivo Distrital</v>
      </c>
      <c r="H33" s="56" t="s">
        <v>2030</v>
      </c>
      <c r="I33" s="56" t="s">
        <v>1030</v>
      </c>
      <c r="J33" s="50">
        <v>100</v>
      </c>
      <c r="K33" s="50">
        <v>100</v>
      </c>
      <c r="L33" s="50">
        <v>100</v>
      </c>
      <c r="M33" s="50">
        <v>100</v>
      </c>
      <c r="N33" s="192">
        <v>100</v>
      </c>
      <c r="O33" s="404">
        <v>100</v>
      </c>
    </row>
    <row r="34" spans="2:15" ht="35.25" customHeight="1" x14ac:dyDescent="0.3">
      <c r="B34" s="563"/>
      <c r="C34" s="621"/>
      <c r="D34" s="183">
        <f>+D33</f>
        <v>21</v>
      </c>
      <c r="E34" s="566"/>
      <c r="F34" s="69" t="str">
        <f>D33&amp;"_I1"</f>
        <v>21_I1</v>
      </c>
      <c r="G34" s="70" t="s">
        <v>1823</v>
      </c>
      <c r="H34" s="56" t="s">
        <v>2031</v>
      </c>
      <c r="I34" s="56" t="s">
        <v>2032</v>
      </c>
      <c r="J34" s="258" t="s">
        <v>2275</v>
      </c>
      <c r="K34" s="258" t="s">
        <v>2276</v>
      </c>
      <c r="L34" s="258" t="s">
        <v>2277</v>
      </c>
      <c r="M34" s="258" t="s">
        <v>2278</v>
      </c>
      <c r="N34" s="259" t="s">
        <v>2279</v>
      </c>
      <c r="O34" s="259" t="s">
        <v>2280</v>
      </c>
    </row>
    <row r="35" spans="2:15" ht="35.25" customHeight="1" x14ac:dyDescent="0.3">
      <c r="B35" s="563"/>
      <c r="C35" s="621"/>
      <c r="D35" s="183">
        <f>+D34</f>
        <v>21</v>
      </c>
      <c r="E35" s="566"/>
      <c r="F35" s="69" t="str">
        <f>D35&amp;"_I2"</f>
        <v>21_I2</v>
      </c>
      <c r="G35" s="70" t="s">
        <v>1824</v>
      </c>
      <c r="H35" s="56" t="s">
        <v>2031</v>
      </c>
      <c r="I35" s="56" t="s">
        <v>2038</v>
      </c>
      <c r="J35" s="258" t="s">
        <v>2281</v>
      </c>
      <c r="K35" s="258" t="s">
        <v>2282</v>
      </c>
      <c r="L35" s="258" t="s">
        <v>2283</v>
      </c>
      <c r="M35" s="258" t="s">
        <v>2284</v>
      </c>
      <c r="N35" s="258" t="s">
        <v>2284</v>
      </c>
      <c r="O35" s="258" t="s">
        <v>2285</v>
      </c>
    </row>
    <row r="36" spans="2:15" ht="35.25" customHeight="1" thickBot="1" x14ac:dyDescent="0.35">
      <c r="B36" s="564"/>
      <c r="C36" s="622"/>
      <c r="D36" s="184">
        <f>+D35</f>
        <v>21</v>
      </c>
      <c r="E36" s="567"/>
      <c r="F36" s="73" t="str">
        <f>D36&amp;"_I3"</f>
        <v>21_I3</v>
      </c>
      <c r="G36" s="74" t="s">
        <v>1825</v>
      </c>
      <c r="H36" s="57" t="s">
        <v>2031</v>
      </c>
      <c r="I36" s="57" t="s">
        <v>2042</v>
      </c>
      <c r="J36" s="260" t="s">
        <v>2286</v>
      </c>
      <c r="K36" s="260" t="s">
        <v>2287</v>
      </c>
      <c r="L36" s="260" t="s">
        <v>2288</v>
      </c>
      <c r="M36" s="53" t="s">
        <v>1144</v>
      </c>
      <c r="N36" s="193" t="s">
        <v>1144</v>
      </c>
      <c r="O36" s="193" t="s">
        <v>1144</v>
      </c>
    </row>
    <row r="37" spans="2:15" ht="35.25" customHeight="1" x14ac:dyDescent="0.3">
      <c r="B37" s="562" t="str">
        <f>+VLOOKUP(D37,bd,MATCH("Área o dependencia",bdfila,0),0)</f>
        <v>Subdirección del Sistema Distrital de Archivos</v>
      </c>
      <c r="C37" s="621" t="str">
        <f>+VLOOKUP(D37,bd,MATCH("PROCESO: ",bdfila,0),0)</f>
        <v>Gestión de la Función Archivística y del patrimonio documental del Distrito Capital</v>
      </c>
      <c r="D37" s="443">
        <f>D12</f>
        <v>22</v>
      </c>
      <c r="E37" s="565" t="str">
        <f>+VLOOKUP($D37,bd,MATCH(E$9,bdfila,0),0)</f>
        <v>Aumentar el índice de satisfacción ciudadana y de las entidades distritales, frente a los servicios prestados por el Archivo de Bogotá</v>
      </c>
      <c r="F37" s="77" t="str">
        <f>D37&amp;"_V1"</f>
        <v>22_V1</v>
      </c>
      <c r="G37" s="124" t="str">
        <f>+VLOOKUP(D37,bd,MATCH(I37,BD_metas!$A$5:$DB$5,0),0)</f>
        <v xml:space="preserve">Promedio de evaluación de la Encuesta de Satisfacción de los servicios prestados a las Entidades Distritales </v>
      </c>
      <c r="H37" s="78" t="s">
        <v>2030</v>
      </c>
      <c r="I37" s="78" t="s">
        <v>1029</v>
      </c>
      <c r="J37" s="126">
        <v>100</v>
      </c>
      <c r="K37" s="126">
        <v>95</v>
      </c>
      <c r="L37" s="126">
        <v>98</v>
      </c>
      <c r="M37" s="126">
        <v>98</v>
      </c>
      <c r="N37" s="194">
        <v>98</v>
      </c>
      <c r="O37" s="128">
        <v>97</v>
      </c>
    </row>
    <row r="38" spans="2:15" ht="35.25" customHeight="1" x14ac:dyDescent="0.3">
      <c r="B38" s="563"/>
      <c r="C38" s="621"/>
      <c r="D38" s="183">
        <f>+D37</f>
        <v>22</v>
      </c>
      <c r="E38" s="566"/>
      <c r="F38" s="69" t="str">
        <f>D38&amp;"_V2"</f>
        <v>22_V2</v>
      </c>
      <c r="G38" s="70" t="str">
        <f>+VLOOKUP(D38,bd,MATCH(I38,BD_metas!$A$5:$DB$5,0),0)</f>
        <v>Porcentaje máximo de satisfacción de las entidades distritales frente a los servicios prestados por la Dirección Distrital de Archivo</v>
      </c>
      <c r="H38" s="56" t="s">
        <v>2030</v>
      </c>
      <c r="I38" s="56" t="s">
        <v>1030</v>
      </c>
      <c r="J38" s="50">
        <v>100</v>
      </c>
      <c r="K38" s="50">
        <v>100</v>
      </c>
      <c r="L38" s="50">
        <v>100</v>
      </c>
      <c r="M38" s="50">
        <v>100</v>
      </c>
      <c r="N38" s="192">
        <v>100</v>
      </c>
      <c r="O38" s="404">
        <v>100</v>
      </c>
    </row>
    <row r="39" spans="2:15" ht="35.25" customHeight="1" x14ac:dyDescent="0.3">
      <c r="B39" s="563"/>
      <c r="C39" s="621"/>
      <c r="D39" s="183">
        <f>+D38</f>
        <v>22</v>
      </c>
      <c r="E39" s="566"/>
      <c r="F39" s="69" t="str">
        <f>D38&amp;"_I1"</f>
        <v>22_I1</v>
      </c>
      <c r="G39" s="70" t="s">
        <v>1823</v>
      </c>
      <c r="H39" s="56" t="s">
        <v>2031</v>
      </c>
      <c r="I39" s="56" t="s">
        <v>2032</v>
      </c>
      <c r="J39" s="258" t="s">
        <v>2289</v>
      </c>
      <c r="K39" s="258" t="s">
        <v>2290</v>
      </c>
      <c r="L39" s="258" t="s">
        <v>2291</v>
      </c>
      <c r="M39" s="258" t="s">
        <v>2292</v>
      </c>
      <c r="N39" s="259" t="s">
        <v>2293</v>
      </c>
      <c r="O39" s="402" t="s">
        <v>2294</v>
      </c>
    </row>
    <row r="40" spans="2:15" ht="35.25" customHeight="1" x14ac:dyDescent="0.3">
      <c r="B40" s="563"/>
      <c r="C40" s="621"/>
      <c r="D40" s="183">
        <f>+D39</f>
        <v>22</v>
      </c>
      <c r="E40" s="566"/>
      <c r="F40" s="69" t="str">
        <f>D40&amp;"_I2"</f>
        <v>22_I2</v>
      </c>
      <c r="G40" s="70" t="s">
        <v>1824</v>
      </c>
      <c r="H40" s="56" t="s">
        <v>2031</v>
      </c>
      <c r="I40" s="56" t="s">
        <v>2038</v>
      </c>
      <c r="J40" s="50" t="s">
        <v>1144</v>
      </c>
      <c r="K40" s="258" t="s">
        <v>2295</v>
      </c>
      <c r="L40" s="50" t="s">
        <v>1144</v>
      </c>
      <c r="M40" s="50" t="s">
        <v>1144</v>
      </c>
      <c r="N40" s="192" t="s">
        <v>1144</v>
      </c>
      <c r="O40" s="259" t="s">
        <v>2296</v>
      </c>
    </row>
    <row r="41" spans="2:15" ht="35.25" customHeight="1" thickBot="1" x14ac:dyDescent="0.35">
      <c r="B41" s="564"/>
      <c r="C41" s="622"/>
      <c r="D41" s="184">
        <f>+D40</f>
        <v>22</v>
      </c>
      <c r="E41" s="567"/>
      <c r="F41" s="73" t="str">
        <f>D41&amp;"_I3"</f>
        <v>22_I3</v>
      </c>
      <c r="G41" s="74" t="s">
        <v>1825</v>
      </c>
      <c r="H41" s="57" t="s">
        <v>2031</v>
      </c>
      <c r="I41" s="57" t="s">
        <v>2042</v>
      </c>
      <c r="J41" s="260" t="s">
        <v>2297</v>
      </c>
      <c r="K41" s="260" t="s">
        <v>2298</v>
      </c>
      <c r="L41" s="260" t="s">
        <v>2299</v>
      </c>
      <c r="M41" s="260" t="s">
        <v>2300</v>
      </c>
      <c r="N41" s="261" t="s">
        <v>2301</v>
      </c>
      <c r="O41" s="403" t="s">
        <v>2302</v>
      </c>
    </row>
    <row r="42" spans="2:15" ht="44.4" customHeight="1" x14ac:dyDescent="0.3">
      <c r="B42" s="562" t="str">
        <f>+VLOOKUP(D42,bd,MATCH("Área o dependencia",bdfila,0),0)</f>
        <v>Dirección Distrital de Relaciones Internacionales</v>
      </c>
      <c r="C42" s="621" t="str">
        <f>+VLOOKUP(D42,bd,MATCH("PROCESO: ",bdfila,0),0)</f>
        <v>Internacionalización de Bogotá</v>
      </c>
      <c r="D42" s="443" t="str">
        <f>D13</f>
        <v>48A</v>
      </c>
      <c r="E42" s="565" t="str">
        <f>+VLOOKUP($D42,bd,MATCH(E$9,bdfila,0),0)</f>
        <v>Realizar acciones de relacionamiento estratégico con redes internacionales, ciudades homólogas, estados y organizaciones internacionales</v>
      </c>
      <c r="F42" s="77" t="str">
        <f>D42&amp;"_V1"</f>
        <v>48A_V1</v>
      </c>
      <c r="G42" s="124" t="str">
        <f>+VLOOKUP(D42,bd,MATCH(I42,BD_metas!$A$5:$DB$5,0),0)</f>
        <v>Sumatoria de acciones de relacionamiento estratégico desarrolladas</v>
      </c>
      <c r="H42" s="78" t="s">
        <v>2030</v>
      </c>
      <c r="I42" s="78" t="s">
        <v>1029</v>
      </c>
      <c r="J42" s="126">
        <v>0</v>
      </c>
      <c r="K42" s="126">
        <v>0</v>
      </c>
      <c r="L42" s="126">
        <v>0</v>
      </c>
      <c r="M42" s="126">
        <v>0</v>
      </c>
      <c r="N42" s="194">
        <v>0</v>
      </c>
      <c r="O42" s="412">
        <v>5</v>
      </c>
    </row>
    <row r="43" spans="2:15" ht="83.1" customHeight="1" x14ac:dyDescent="0.3">
      <c r="B43" s="563"/>
      <c r="C43" s="621"/>
      <c r="D43" s="183" t="str">
        <f>+D42</f>
        <v>48A</v>
      </c>
      <c r="E43" s="566"/>
      <c r="F43" s="69" t="str">
        <f>D43&amp;"_V2"</f>
        <v>48A_V2</v>
      </c>
      <c r="G43" s="70">
        <f>+VLOOKUP(D43,bd,MATCH(I43,BD_metas!$A$5:$DB$5,0),0)</f>
        <v>0</v>
      </c>
      <c r="H43" s="56" t="s">
        <v>2030</v>
      </c>
      <c r="I43" s="56" t="s">
        <v>1030</v>
      </c>
      <c r="J43" s="50"/>
      <c r="K43" s="50"/>
      <c r="L43" s="50"/>
      <c r="M43" s="50"/>
      <c r="N43" s="192"/>
      <c r="O43" s="413"/>
    </row>
    <row r="44" spans="2:15" ht="84.75" customHeight="1" x14ac:dyDescent="0.3">
      <c r="B44" s="563"/>
      <c r="C44" s="621"/>
      <c r="D44" s="183" t="str">
        <f>+D43</f>
        <v>48A</v>
      </c>
      <c r="E44" s="566"/>
      <c r="F44" s="69" t="str">
        <f>D43&amp;"_I1"</f>
        <v>48A_I1</v>
      </c>
      <c r="G44" s="70" t="s">
        <v>1823</v>
      </c>
      <c r="H44" s="56" t="s">
        <v>2031</v>
      </c>
      <c r="I44" s="56" t="s">
        <v>2032</v>
      </c>
      <c r="J44" s="335" t="s">
        <v>2303</v>
      </c>
      <c r="K44" s="335" t="s">
        <v>2304</v>
      </c>
      <c r="L44" s="336" t="s">
        <v>2305</v>
      </c>
      <c r="M44" s="336" t="s">
        <v>2306</v>
      </c>
      <c r="N44" s="337" t="s">
        <v>2307</v>
      </c>
      <c r="O44" s="413" t="s">
        <v>2308</v>
      </c>
    </row>
    <row r="45" spans="2:15" ht="69" x14ac:dyDescent="0.3">
      <c r="B45" s="563"/>
      <c r="C45" s="621"/>
      <c r="D45" s="183" t="str">
        <f>+D44</f>
        <v>48A</v>
      </c>
      <c r="E45" s="566"/>
      <c r="F45" s="69" t="str">
        <f>D45&amp;"_I2"</f>
        <v>48A_I2</v>
      </c>
      <c r="G45" s="70" t="s">
        <v>1824</v>
      </c>
      <c r="H45" s="56" t="s">
        <v>2031</v>
      </c>
      <c r="I45" s="56" t="s">
        <v>2038</v>
      </c>
      <c r="J45" s="338" t="s">
        <v>642</v>
      </c>
      <c r="K45" s="339" t="s">
        <v>2309</v>
      </c>
      <c r="L45" s="339" t="s">
        <v>2309</v>
      </c>
      <c r="M45" s="339" t="s">
        <v>2309</v>
      </c>
      <c r="N45" s="339" t="s">
        <v>2309</v>
      </c>
      <c r="O45" s="414" t="s">
        <v>2309</v>
      </c>
    </row>
    <row r="46" spans="2:15" ht="69.75" customHeight="1" thickBot="1" x14ac:dyDescent="0.35">
      <c r="B46" s="609"/>
      <c r="C46" s="621"/>
      <c r="D46" s="183" t="str">
        <f>+D45</f>
        <v>48A</v>
      </c>
      <c r="E46" s="619"/>
      <c r="F46" s="202" t="str">
        <f>D46&amp;"_I3"</f>
        <v>48A_I3</v>
      </c>
      <c r="G46" s="203" t="s">
        <v>1825</v>
      </c>
      <c r="H46" s="204" t="s">
        <v>2031</v>
      </c>
      <c r="I46" s="204" t="s">
        <v>2042</v>
      </c>
      <c r="J46" s="338" t="s">
        <v>642</v>
      </c>
      <c r="K46" s="340" t="s">
        <v>2310</v>
      </c>
      <c r="L46" s="341" t="s">
        <v>2311</v>
      </c>
      <c r="M46" s="340" t="s">
        <v>2312</v>
      </c>
      <c r="N46" s="342" t="s">
        <v>2313</v>
      </c>
      <c r="O46" s="414" t="s">
        <v>2314</v>
      </c>
    </row>
    <row r="47" spans="2:15" ht="44.4" customHeight="1" x14ac:dyDescent="0.3">
      <c r="B47" s="576" t="str">
        <f>+VLOOKUP(D47,bd,MATCH("Área o dependencia",bdfila,0),0)</f>
        <v>Dirección Distrital de Relaciones Internacionales</v>
      </c>
      <c r="C47" s="623" t="str">
        <f>+VLOOKUP(D47,bd,MATCH("PROCESO: ",bdfila,0),0)</f>
        <v>Internacionalización de Bogotá</v>
      </c>
      <c r="D47" s="442" t="str">
        <f>D14</f>
        <v>48B</v>
      </c>
      <c r="E47" s="573" t="str">
        <f>+VLOOKUP($D47,bd,MATCH(E$9,bdfila,0),0)</f>
        <v>Prestar asesorías o asistencias técnicas a los sectores y entidades distritales en materia de internacionalización</v>
      </c>
      <c r="F47" s="63" t="str">
        <f>D47&amp;"_V1"</f>
        <v>48B_V1</v>
      </c>
      <c r="G47" s="64" t="str">
        <f>+VLOOKUP(D47,bd,MATCH(I47,BD_metas!$A$5:$DB$5,0),0)</f>
        <v>Sumatoria de acciones de Asesorías o Asistencias Técnicas gestionadas</v>
      </c>
      <c r="H47" s="65" t="s">
        <v>2030</v>
      </c>
      <c r="I47" s="65" t="s">
        <v>1029</v>
      </c>
      <c r="J47" s="343">
        <v>0</v>
      </c>
      <c r="K47" s="343">
        <v>0</v>
      </c>
      <c r="L47" s="344">
        <v>0</v>
      </c>
      <c r="M47" s="343">
        <v>0</v>
      </c>
      <c r="N47" s="345">
        <v>0</v>
      </c>
      <c r="O47" s="415">
        <v>6</v>
      </c>
    </row>
    <row r="48" spans="2:15" ht="83.1" customHeight="1" x14ac:dyDescent="0.3">
      <c r="B48" s="563"/>
      <c r="C48" s="621"/>
      <c r="D48" s="183" t="str">
        <f>+D47</f>
        <v>48B</v>
      </c>
      <c r="E48" s="566"/>
      <c r="F48" s="69" t="str">
        <f>D48&amp;"_V2"</f>
        <v>48B_V2</v>
      </c>
      <c r="G48" s="70">
        <f>+VLOOKUP(D48,bd,MATCH(I48,BD_metas!$A$5:$DB$5,0),0)</f>
        <v>0</v>
      </c>
      <c r="H48" s="56" t="s">
        <v>2030</v>
      </c>
      <c r="I48" s="56" t="s">
        <v>1030</v>
      </c>
      <c r="J48" s="346"/>
      <c r="K48" s="346"/>
      <c r="L48" s="346"/>
      <c r="M48" s="346"/>
      <c r="N48" s="347"/>
      <c r="O48" s="416"/>
    </row>
    <row r="49" spans="2:15" ht="75.75" customHeight="1" x14ac:dyDescent="0.3">
      <c r="B49" s="563"/>
      <c r="C49" s="621"/>
      <c r="D49" s="183" t="str">
        <f>+D48</f>
        <v>48B</v>
      </c>
      <c r="E49" s="566"/>
      <c r="F49" s="69" t="str">
        <f>D48&amp;"_I1"</f>
        <v>48B_I1</v>
      </c>
      <c r="G49" s="70" t="s">
        <v>1823</v>
      </c>
      <c r="H49" s="56" t="s">
        <v>2031</v>
      </c>
      <c r="I49" s="56" t="s">
        <v>2032</v>
      </c>
      <c r="J49" s="335" t="s">
        <v>2303</v>
      </c>
      <c r="K49" s="336" t="s">
        <v>2315</v>
      </c>
      <c r="L49" s="348" t="s">
        <v>2316</v>
      </c>
      <c r="M49" s="336" t="s">
        <v>2317</v>
      </c>
      <c r="N49" s="337" t="s">
        <v>2318</v>
      </c>
      <c r="O49" s="413" t="s">
        <v>2319</v>
      </c>
    </row>
    <row r="50" spans="2:15" ht="69" x14ac:dyDescent="0.3">
      <c r="B50" s="563"/>
      <c r="C50" s="621"/>
      <c r="D50" s="183" t="str">
        <f>+D49</f>
        <v>48B</v>
      </c>
      <c r="E50" s="566"/>
      <c r="F50" s="69" t="str">
        <f>D50&amp;"_I2"</f>
        <v>48B_I2</v>
      </c>
      <c r="G50" s="70" t="s">
        <v>1824</v>
      </c>
      <c r="H50" s="56" t="s">
        <v>2031</v>
      </c>
      <c r="I50" s="56" t="s">
        <v>2038</v>
      </c>
      <c r="J50" s="349" t="s">
        <v>642</v>
      </c>
      <c r="K50" s="339" t="s">
        <v>2309</v>
      </c>
      <c r="L50" s="339" t="s">
        <v>2309</v>
      </c>
      <c r="M50" s="339" t="s">
        <v>2309</v>
      </c>
      <c r="N50" s="339" t="s">
        <v>2309</v>
      </c>
      <c r="O50" s="414" t="s">
        <v>2309</v>
      </c>
    </row>
    <row r="51" spans="2:15" ht="83.25" customHeight="1" thickBot="1" x14ac:dyDescent="0.35">
      <c r="B51" s="564"/>
      <c r="C51" s="622"/>
      <c r="D51" s="184" t="str">
        <f>+D50</f>
        <v>48B</v>
      </c>
      <c r="E51" s="567"/>
      <c r="F51" s="73" t="str">
        <f>D51&amp;"_I3"</f>
        <v>48B_I3</v>
      </c>
      <c r="G51" s="74" t="s">
        <v>1825</v>
      </c>
      <c r="H51" s="57" t="s">
        <v>2031</v>
      </c>
      <c r="I51" s="57" t="s">
        <v>2042</v>
      </c>
      <c r="J51" s="350" t="s">
        <v>642</v>
      </c>
      <c r="K51" s="351" t="s">
        <v>2320</v>
      </c>
      <c r="L51" s="351" t="s">
        <v>2321</v>
      </c>
      <c r="M51" s="351" t="s">
        <v>2322</v>
      </c>
      <c r="N51" s="352" t="s">
        <v>2323</v>
      </c>
      <c r="O51" s="414" t="s">
        <v>2324</v>
      </c>
    </row>
    <row r="52" spans="2:15" ht="44.4" hidden="1" customHeight="1" x14ac:dyDescent="0.3">
      <c r="B52" s="562" t="str">
        <f>+VLOOKUP(D52,bd,MATCH("Área o dependencia",bdfila,0),0)</f>
        <v>Dirección Distrital de Relaciones Internacionales</v>
      </c>
      <c r="C52" s="621" t="str">
        <f>+VLOOKUP(D52,bd,MATCH("PROCESO: ",bdfila,0),0)</f>
        <v>Internacionalización de Bogotá</v>
      </c>
      <c r="D52" s="443" t="str">
        <f>D15</f>
        <v>48C (SS)</v>
      </c>
      <c r="E52" s="565" t="str">
        <f>+VLOOKUP($D52,bd,MATCH(E$9,bdfila,0),0)</f>
        <v>Alcanzar el 85% o más de satisfacción en los servicios prestados por la Dirección de Relaciones Internacionales</v>
      </c>
      <c r="F52" s="77" t="str">
        <f>D52&amp;"_V1"</f>
        <v>48C (SS)_V1</v>
      </c>
      <c r="G52" s="124" t="str">
        <f>+VLOOKUP(D52,bd,MATCH(I52,BD_metas!$A$5:$DB$5,0),0)</f>
        <v xml:space="preserve">  Promedio del resultado de las encuestas de satisfacción de los servicios  prestados     </v>
      </c>
      <c r="H52" s="78" t="s">
        <v>2030</v>
      </c>
      <c r="I52" s="78" t="s">
        <v>1029</v>
      </c>
      <c r="J52" s="126"/>
      <c r="K52" s="126"/>
      <c r="L52" s="126"/>
      <c r="M52" s="126"/>
      <c r="N52" s="194"/>
      <c r="O52" s="128"/>
    </row>
    <row r="53" spans="2:15" ht="83.1" hidden="1" customHeight="1" x14ac:dyDescent="0.3">
      <c r="B53" s="563"/>
      <c r="C53" s="621"/>
      <c r="D53" s="183" t="str">
        <f>+D52</f>
        <v>48C (SS)</v>
      </c>
      <c r="E53" s="566"/>
      <c r="F53" s="69" t="str">
        <f>D53&amp;"_V2"</f>
        <v>48C (SS)_V2</v>
      </c>
      <c r="G53" s="70" t="str">
        <f>+VLOOKUP(D53,bd,MATCH(I53,BD_metas!$A$5:$DB$5,0),0)</f>
        <v>Porcentaje máximo de satisfacción de los servicios prestados por la Dirección de Relaciones Internacionales</v>
      </c>
      <c r="H53" s="56" t="s">
        <v>2030</v>
      </c>
      <c r="I53" s="56" t="s">
        <v>1030</v>
      </c>
      <c r="J53" s="50"/>
      <c r="K53" s="50"/>
      <c r="L53" s="50"/>
      <c r="M53" s="50"/>
      <c r="N53" s="192"/>
      <c r="O53" s="71"/>
    </row>
    <row r="54" spans="2:15" ht="41.4" hidden="1" x14ac:dyDescent="0.3">
      <c r="B54" s="563"/>
      <c r="C54" s="621"/>
      <c r="D54" s="183" t="str">
        <f>+D53</f>
        <v>48C (SS)</v>
      </c>
      <c r="E54" s="566"/>
      <c r="F54" s="69" t="str">
        <f>D53&amp;"_I1"</f>
        <v>48C (SS)_I1</v>
      </c>
      <c r="G54" s="70" t="s">
        <v>1823</v>
      </c>
      <c r="H54" s="56" t="s">
        <v>2031</v>
      </c>
      <c r="I54" s="56" t="s">
        <v>2032</v>
      </c>
      <c r="J54" s="50"/>
      <c r="K54" s="50"/>
      <c r="L54" s="50"/>
      <c r="M54" s="50"/>
      <c r="N54" s="192"/>
      <c r="O54" s="71"/>
    </row>
    <row r="55" spans="2:15" ht="69" hidden="1" x14ac:dyDescent="0.3">
      <c r="B55" s="563"/>
      <c r="C55" s="621"/>
      <c r="D55" s="183" t="str">
        <f>+D54</f>
        <v>48C (SS)</v>
      </c>
      <c r="E55" s="566"/>
      <c r="F55" s="69" t="str">
        <f>D55&amp;"_I2"</f>
        <v>48C (SS)_I2</v>
      </c>
      <c r="G55" s="70" t="s">
        <v>1824</v>
      </c>
      <c r="H55" s="56" t="s">
        <v>2031</v>
      </c>
      <c r="I55" s="56" t="s">
        <v>2038</v>
      </c>
      <c r="J55" s="50"/>
      <c r="K55" s="50"/>
      <c r="L55" s="50"/>
      <c r="M55" s="50"/>
      <c r="N55" s="192"/>
      <c r="O55" s="71"/>
    </row>
    <row r="56" spans="2:15" ht="55.8" hidden="1" thickBot="1" x14ac:dyDescent="0.35">
      <c r="B56" s="564"/>
      <c r="C56" s="622"/>
      <c r="D56" s="184" t="str">
        <f>+D55</f>
        <v>48C (SS)</v>
      </c>
      <c r="E56" s="567"/>
      <c r="F56" s="73" t="str">
        <f>D56&amp;"_I3"</f>
        <v>48C (SS)_I3</v>
      </c>
      <c r="G56" s="74" t="s">
        <v>1825</v>
      </c>
      <c r="H56" s="57" t="s">
        <v>2031</v>
      </c>
      <c r="I56" s="57" t="s">
        <v>2042</v>
      </c>
      <c r="J56" s="53"/>
      <c r="K56" s="53"/>
      <c r="L56" s="53"/>
      <c r="M56" s="53"/>
      <c r="N56" s="193"/>
      <c r="O56" s="75"/>
    </row>
    <row r="57" spans="2:15" ht="44.4" customHeight="1" x14ac:dyDescent="0.3">
      <c r="B57" s="576" t="str">
        <f>+VLOOKUP(D57,bd,MATCH("Área o dependencia",bdfila,0),0)</f>
        <v>Subdirección de Proyección Internacional</v>
      </c>
      <c r="C57" s="623" t="str">
        <f>+VLOOKUP(D57,bd,MATCH("PROCESO: ",bdfila,0),0)</f>
        <v>Internacionalización de Bogotá</v>
      </c>
      <c r="D57" s="442">
        <f>D16</f>
        <v>49</v>
      </c>
      <c r="E57" s="573" t="str">
        <f>+VLOOKUP($D57,bd,MATCH(E$9,bdfila,0),0)</f>
        <v xml:space="preserve">Desarrollar foros, eventos o campañas de carácter internacional </v>
      </c>
      <c r="F57" s="63" t="str">
        <f>D57&amp;"_V1"</f>
        <v>49_V1</v>
      </c>
      <c r="G57" s="64" t="str">
        <f>+VLOOKUP(D57,bd,MATCH(I57,BD_metas!$A$5:$DB$5,0),0)</f>
        <v>Sumatoria de eventos y campañas realizadas</v>
      </c>
      <c r="H57" s="65" t="s">
        <v>2030</v>
      </c>
      <c r="I57" s="65" t="s">
        <v>1029</v>
      </c>
      <c r="J57" s="343">
        <v>0</v>
      </c>
      <c r="K57" s="343">
        <v>0</v>
      </c>
      <c r="L57" s="344">
        <v>0</v>
      </c>
      <c r="M57" s="343">
        <v>0</v>
      </c>
      <c r="N57" s="345">
        <v>0</v>
      </c>
      <c r="O57" s="415">
        <v>2</v>
      </c>
    </row>
    <row r="58" spans="2:15" ht="83.1" customHeight="1" x14ac:dyDescent="0.3">
      <c r="B58" s="563"/>
      <c r="C58" s="621"/>
      <c r="D58" s="183">
        <f>+D57</f>
        <v>49</v>
      </c>
      <c r="E58" s="566"/>
      <c r="F58" s="69" t="str">
        <f>D58&amp;"_V2"</f>
        <v>49_V2</v>
      </c>
      <c r="G58" s="70">
        <f>+VLOOKUP(D58,bd,MATCH(I58,BD_metas!$A$5:$DB$5,0),0)</f>
        <v>0</v>
      </c>
      <c r="H58" s="56" t="s">
        <v>2030</v>
      </c>
      <c r="I58" s="56" t="s">
        <v>1030</v>
      </c>
      <c r="J58" s="346"/>
      <c r="K58" s="346"/>
      <c r="L58" s="346"/>
      <c r="M58" s="346"/>
      <c r="N58" s="347"/>
      <c r="O58" s="416"/>
    </row>
    <row r="59" spans="2:15" ht="93" customHeight="1" x14ac:dyDescent="0.3">
      <c r="B59" s="563"/>
      <c r="C59" s="621"/>
      <c r="D59" s="183">
        <f>+D58</f>
        <v>49</v>
      </c>
      <c r="E59" s="566"/>
      <c r="F59" s="69" t="str">
        <f>D58&amp;"_I1"</f>
        <v>49_I1</v>
      </c>
      <c r="G59" s="70" t="s">
        <v>1823</v>
      </c>
      <c r="H59" s="56" t="s">
        <v>2031</v>
      </c>
      <c r="I59" s="56" t="s">
        <v>2032</v>
      </c>
      <c r="J59" s="335" t="s">
        <v>2303</v>
      </c>
      <c r="K59" s="335" t="s">
        <v>2325</v>
      </c>
      <c r="L59" s="346" t="s">
        <v>2326</v>
      </c>
      <c r="M59" s="346" t="s">
        <v>2326</v>
      </c>
      <c r="N59" s="346" t="s">
        <v>2326</v>
      </c>
      <c r="O59" s="417" t="s">
        <v>2327</v>
      </c>
    </row>
    <row r="60" spans="2:15" ht="69" x14ac:dyDescent="0.3">
      <c r="B60" s="563"/>
      <c r="C60" s="621"/>
      <c r="D60" s="183">
        <f>+D59</f>
        <v>49</v>
      </c>
      <c r="E60" s="566"/>
      <c r="F60" s="69" t="str">
        <f>D60&amp;"_I2"</f>
        <v>49_I2</v>
      </c>
      <c r="G60" s="70" t="s">
        <v>1824</v>
      </c>
      <c r="H60" s="56" t="s">
        <v>2031</v>
      </c>
      <c r="I60" s="56" t="s">
        <v>2038</v>
      </c>
      <c r="J60" s="349" t="s">
        <v>642</v>
      </c>
      <c r="K60" s="339" t="s">
        <v>2309</v>
      </c>
      <c r="L60" s="339" t="s">
        <v>2309</v>
      </c>
      <c r="M60" s="339" t="s">
        <v>2309</v>
      </c>
      <c r="N60" s="339" t="s">
        <v>2309</v>
      </c>
      <c r="O60" s="414" t="s">
        <v>2309</v>
      </c>
    </row>
    <row r="61" spans="2:15" ht="87" customHeight="1" thickBot="1" x14ac:dyDescent="0.35">
      <c r="B61" s="609"/>
      <c r="C61" s="621"/>
      <c r="D61" s="183">
        <f>+D60</f>
        <v>49</v>
      </c>
      <c r="E61" s="619"/>
      <c r="F61" s="202" t="str">
        <f>D61&amp;"_I3"</f>
        <v>49_I3</v>
      </c>
      <c r="G61" s="203" t="s">
        <v>1825</v>
      </c>
      <c r="H61" s="204" t="s">
        <v>2031</v>
      </c>
      <c r="I61" s="204" t="s">
        <v>2042</v>
      </c>
      <c r="J61" s="353" t="s">
        <v>642</v>
      </c>
      <c r="K61" s="341" t="s">
        <v>2328</v>
      </c>
      <c r="L61" s="354" t="s">
        <v>642</v>
      </c>
      <c r="M61" s="354" t="s">
        <v>642</v>
      </c>
      <c r="N61" s="354" t="s">
        <v>642</v>
      </c>
      <c r="O61" s="414" t="s">
        <v>2329</v>
      </c>
    </row>
    <row r="62" spans="2:15" ht="44.4" customHeight="1" x14ac:dyDescent="0.3">
      <c r="B62" s="576" t="str">
        <f>+VLOOKUP(D62,bd,MATCH("Área o dependencia",bdfila,0),0)</f>
        <v>Dirección Distrital de Desarrollo Institucional</v>
      </c>
      <c r="C62" s="623" t="str">
        <f>+VLOOKUP(D62,bd,MATCH("PROCESO: ",bdfila,0),0)</f>
        <v>Fortalecimiento de la administración y la gestión pública Distrital</v>
      </c>
      <c r="D62" s="442" t="str">
        <f>D17</f>
        <v>31P</v>
      </c>
      <c r="E62" s="573" t="str">
        <f>+VLOOKUP($D62,bd,MATCH(E$9,bdfila,0),0)</f>
        <v xml:space="preserve">Aumentar el índice de satisfacción de los servidores formados </v>
      </c>
      <c r="F62" s="63" t="str">
        <f>D62&amp;"_V1"</f>
        <v>31P_V1</v>
      </c>
      <c r="G62" s="64" t="str">
        <f>+VLOOKUP(D62,bd,MATCH(I62,BD_metas!$A$5:$DB$5,0),0)</f>
        <v xml:space="preserve">  Promedio de evaluación de la encuesta de Satisfacción aplicada a los servidores formados </v>
      </c>
      <c r="H62" s="65" t="s">
        <v>2030</v>
      </c>
      <c r="I62" s="65" t="s">
        <v>1029</v>
      </c>
      <c r="J62" s="66">
        <v>0</v>
      </c>
      <c r="K62" s="66">
        <v>0</v>
      </c>
      <c r="L62" s="66">
        <v>0</v>
      </c>
      <c r="M62" s="66">
        <v>0</v>
      </c>
      <c r="N62" s="191">
        <v>0</v>
      </c>
      <c r="O62" s="67">
        <v>90.8</v>
      </c>
    </row>
    <row r="63" spans="2:15" ht="83.1" customHeight="1" x14ac:dyDescent="0.3">
      <c r="B63" s="563"/>
      <c r="C63" s="621"/>
      <c r="D63" s="183" t="str">
        <f>+D62</f>
        <v>31P</v>
      </c>
      <c r="E63" s="566"/>
      <c r="F63" s="69" t="str">
        <f>D63&amp;"_V2"</f>
        <v>31P_V2</v>
      </c>
      <c r="G63" s="70" t="str">
        <f>+VLOOKUP(D63,bd,MATCH(I63,BD_metas!$A$5:$DB$5,0),0)</f>
        <v xml:space="preserve">Porcentaje máximo de satisfacción de los servidores formados </v>
      </c>
      <c r="H63" s="56" t="s">
        <v>2030</v>
      </c>
      <c r="I63" s="56" t="s">
        <v>1030</v>
      </c>
      <c r="J63" s="50">
        <v>0</v>
      </c>
      <c r="K63" s="50">
        <v>0</v>
      </c>
      <c r="L63" s="50">
        <v>0</v>
      </c>
      <c r="M63" s="50">
        <v>0</v>
      </c>
      <c r="N63" s="192">
        <v>0</v>
      </c>
      <c r="O63" s="71">
        <v>100</v>
      </c>
    </row>
    <row r="64" spans="2:15" ht="75" customHeight="1" x14ac:dyDescent="0.3">
      <c r="B64" s="563"/>
      <c r="C64" s="621"/>
      <c r="D64" s="183" t="str">
        <f>+D63</f>
        <v>31P</v>
      </c>
      <c r="E64" s="566"/>
      <c r="F64" s="69" t="str">
        <f>D63&amp;"_I1"</f>
        <v>31P_I1</v>
      </c>
      <c r="G64" s="70" t="s">
        <v>1823</v>
      </c>
      <c r="H64" s="56" t="s">
        <v>2031</v>
      </c>
      <c r="I64" s="56" t="s">
        <v>2032</v>
      </c>
      <c r="J64" s="258" t="s">
        <v>2330</v>
      </c>
      <c r="K64" s="258" t="s">
        <v>2330</v>
      </c>
      <c r="L64" s="258" t="s">
        <v>2330</v>
      </c>
      <c r="M64" s="258" t="s">
        <v>2330</v>
      </c>
      <c r="N64" s="258" t="s">
        <v>2330</v>
      </c>
      <c r="O64" s="402" t="s">
        <v>2331</v>
      </c>
    </row>
    <row r="65" spans="2:15" ht="69" x14ac:dyDescent="0.3">
      <c r="B65" s="563"/>
      <c r="C65" s="621"/>
      <c r="D65" s="183" t="str">
        <f>+D64</f>
        <v>31P</v>
      </c>
      <c r="E65" s="566"/>
      <c r="F65" s="69" t="str">
        <f>D65&amp;"_I2"</f>
        <v>31P_I2</v>
      </c>
      <c r="G65" s="70" t="s">
        <v>1824</v>
      </c>
      <c r="H65" s="56" t="s">
        <v>2031</v>
      </c>
      <c r="I65" s="56" t="s">
        <v>2038</v>
      </c>
      <c r="J65" s="258" t="s">
        <v>2332</v>
      </c>
      <c r="K65" s="258" t="s">
        <v>2332</v>
      </c>
      <c r="L65" s="258" t="s">
        <v>2332</v>
      </c>
      <c r="M65" s="258" t="s">
        <v>2332</v>
      </c>
      <c r="N65" s="258" t="s">
        <v>2332</v>
      </c>
      <c r="O65" s="402" t="s">
        <v>2333</v>
      </c>
    </row>
    <row r="66" spans="2:15" ht="87" thickBot="1" x14ac:dyDescent="0.35">
      <c r="B66" s="564"/>
      <c r="C66" s="622"/>
      <c r="D66" s="184" t="str">
        <f>+D65</f>
        <v>31P</v>
      </c>
      <c r="E66" s="567"/>
      <c r="F66" s="73" t="str">
        <f>D66&amp;"_I3"</f>
        <v>31P_I3</v>
      </c>
      <c r="G66" s="74" t="s">
        <v>1825</v>
      </c>
      <c r="H66" s="57" t="s">
        <v>2031</v>
      </c>
      <c r="I66" s="57" t="s">
        <v>2042</v>
      </c>
      <c r="J66" s="260" t="s">
        <v>2332</v>
      </c>
      <c r="K66" s="260" t="s">
        <v>2332</v>
      </c>
      <c r="L66" s="260" t="s">
        <v>2332</v>
      </c>
      <c r="M66" s="260" t="s">
        <v>2332</v>
      </c>
      <c r="N66" s="260" t="s">
        <v>2332</v>
      </c>
      <c r="O66" s="403" t="s">
        <v>2334</v>
      </c>
    </row>
    <row r="67" spans="2:15" ht="44.4" customHeight="1" x14ac:dyDescent="0.3">
      <c r="B67" s="576" t="str">
        <f>+VLOOKUP(D67,bd,MATCH("Área o dependencia",bdfila,0),0)</f>
        <v>Dirección Distrital de Desarrollo Institucional</v>
      </c>
      <c r="C67" s="623" t="str">
        <f>+VLOOKUP(D67,bd,MATCH("PROCESO: ",bdfila,0),0)</f>
        <v>Fortalecimiento de la administración y la gestión pública Distrital</v>
      </c>
      <c r="D67" s="442" t="str">
        <f>D18</f>
        <v>31Q</v>
      </c>
      <c r="E67" s="573" t="str">
        <f>+VLOOKUP($D67,bd,MATCH(E$9,bdfila,0),0)</f>
        <v xml:space="preserve">Aumentar el índice de satisfacción de las entidades distritales, frente a los servicios prestados </v>
      </c>
      <c r="F67" s="63" t="str">
        <f>D67&amp;"_V1"</f>
        <v>31Q_V1</v>
      </c>
      <c r="G67" s="64" t="str">
        <f>+VLOOKUP(D67,bd,MATCH(I67,BD_metas!$A$5:$DB$5,0),0)</f>
        <v xml:space="preserve">  Promedio de evaluación de la encuesta de Satisfacción de los servicios prestados</v>
      </c>
      <c r="H67" s="65" t="s">
        <v>2030</v>
      </c>
      <c r="I67" s="65" t="s">
        <v>1029</v>
      </c>
      <c r="J67" s="317">
        <v>0</v>
      </c>
      <c r="K67" s="317">
        <v>0</v>
      </c>
      <c r="L67" s="317">
        <v>0</v>
      </c>
      <c r="M67" s="317">
        <v>0</v>
      </c>
      <c r="N67" s="318">
        <v>0</v>
      </c>
      <c r="O67" s="67">
        <v>96</v>
      </c>
    </row>
    <row r="68" spans="2:15" ht="83.1" customHeight="1" x14ac:dyDescent="0.3">
      <c r="B68" s="563"/>
      <c r="C68" s="621"/>
      <c r="D68" s="183" t="str">
        <f>+D67</f>
        <v>31Q</v>
      </c>
      <c r="E68" s="566"/>
      <c r="F68" s="69" t="str">
        <f>D68&amp;"_V2"</f>
        <v>31Q_V2</v>
      </c>
      <c r="G68" s="70" t="str">
        <f>+VLOOKUP(D68,bd,MATCH(I68,BD_metas!$A$5:$DB$5,0),0)</f>
        <v xml:space="preserve">Porcentaje máximo de satisfacción de las entidades distritales frente a los servicios prestados </v>
      </c>
      <c r="H68" s="56" t="s">
        <v>2030</v>
      </c>
      <c r="I68" s="56" t="s">
        <v>1030</v>
      </c>
      <c r="J68" s="258">
        <v>0</v>
      </c>
      <c r="K68" s="258">
        <v>0</v>
      </c>
      <c r="L68" s="258">
        <v>0</v>
      </c>
      <c r="M68" s="258">
        <v>0</v>
      </c>
      <c r="N68" s="259">
        <v>0</v>
      </c>
      <c r="O68" s="71">
        <v>100</v>
      </c>
    </row>
    <row r="69" spans="2:15" ht="100.8" x14ac:dyDescent="0.3">
      <c r="B69" s="563"/>
      <c r="C69" s="621"/>
      <c r="D69" s="183" t="str">
        <f>+D68</f>
        <v>31Q</v>
      </c>
      <c r="E69" s="566"/>
      <c r="F69" s="69" t="str">
        <f>D68&amp;"_I1"</f>
        <v>31Q_I1</v>
      </c>
      <c r="G69" s="70" t="s">
        <v>1823</v>
      </c>
      <c r="H69" s="56" t="s">
        <v>2031</v>
      </c>
      <c r="I69" s="56" t="s">
        <v>2032</v>
      </c>
      <c r="J69" s="258" t="s">
        <v>2330</v>
      </c>
      <c r="K69" s="258" t="s">
        <v>2330</v>
      </c>
      <c r="L69" s="258" t="s">
        <v>2330</v>
      </c>
      <c r="M69" s="258" t="s">
        <v>2330</v>
      </c>
      <c r="N69" s="258" t="s">
        <v>2330</v>
      </c>
      <c r="O69" s="258" t="s">
        <v>2335</v>
      </c>
    </row>
    <row r="70" spans="2:15" ht="69" x14ac:dyDescent="0.3">
      <c r="B70" s="563"/>
      <c r="C70" s="621"/>
      <c r="D70" s="183" t="str">
        <f>+D69</f>
        <v>31Q</v>
      </c>
      <c r="E70" s="566"/>
      <c r="F70" s="69" t="str">
        <f>D70&amp;"_I2"</f>
        <v>31Q_I2</v>
      </c>
      <c r="G70" s="70" t="s">
        <v>1824</v>
      </c>
      <c r="H70" s="56" t="s">
        <v>2031</v>
      </c>
      <c r="I70" s="56" t="s">
        <v>2038</v>
      </c>
      <c r="J70" s="258" t="s">
        <v>2332</v>
      </c>
      <c r="K70" s="258" t="s">
        <v>2332</v>
      </c>
      <c r="L70" s="258" t="s">
        <v>2332</v>
      </c>
      <c r="M70" s="258" t="s">
        <v>2332</v>
      </c>
      <c r="N70" s="258" t="s">
        <v>2332</v>
      </c>
      <c r="O70" s="402" t="s">
        <v>2336</v>
      </c>
    </row>
    <row r="71" spans="2:15" ht="130.19999999999999" thickBot="1" x14ac:dyDescent="0.35">
      <c r="B71" s="564"/>
      <c r="C71" s="622"/>
      <c r="D71" s="184" t="str">
        <f>+D70</f>
        <v>31Q</v>
      </c>
      <c r="E71" s="567"/>
      <c r="F71" s="73" t="str">
        <f>D71&amp;"_I3"</f>
        <v>31Q_I3</v>
      </c>
      <c r="G71" s="74" t="s">
        <v>1825</v>
      </c>
      <c r="H71" s="57" t="s">
        <v>2031</v>
      </c>
      <c r="I71" s="57" t="s">
        <v>2042</v>
      </c>
      <c r="J71" s="260" t="s">
        <v>2332</v>
      </c>
      <c r="K71" s="260" t="s">
        <v>2332</v>
      </c>
      <c r="L71" s="260" t="s">
        <v>2332</v>
      </c>
      <c r="M71" s="260" t="s">
        <v>2332</v>
      </c>
      <c r="N71" s="260" t="s">
        <v>2332</v>
      </c>
      <c r="O71" s="403" t="s">
        <v>2337</v>
      </c>
    </row>
    <row r="72" spans="2:15" ht="44.4" hidden="1" customHeight="1" x14ac:dyDescent="0.3">
      <c r="B72" s="562" t="str">
        <f>+VLOOKUP(D72,bd,MATCH("Área o dependencia",bdfila,0),0)</f>
        <v>Subdirección Técnica de Desarrollo Institucional</v>
      </c>
      <c r="C72" s="621" t="str">
        <f>+VLOOKUP(D72,bd,MATCH("PROCESO: ",bdfila,0),0)</f>
        <v>No Aplica</v>
      </c>
      <c r="D72" s="443" t="str">
        <f>D19</f>
        <v>36A</v>
      </c>
      <c r="E72" s="565" t="str">
        <f>+VLOOKUP($D72,bd,MATCH(E$9,bdfila,0),0)</f>
        <v>Elaborar documentos técnicos para la implementación del Modelo Integrado de Planeación y Gestión - MIPG en las entidades distritales</v>
      </c>
      <c r="F72" s="77" t="str">
        <f>D72&amp;"_V1"</f>
        <v>36A_V1</v>
      </c>
      <c r="G72" s="124" t="str">
        <f>+VLOOKUP(D72,bd,MATCH(I72,BD_metas!$A$5:$DB$5,0),0)</f>
        <v>Número de documentos técnicos para la implementación del MIPG en las entidades distritales.</v>
      </c>
      <c r="H72" s="78" t="s">
        <v>2030</v>
      </c>
      <c r="I72" s="78" t="s">
        <v>1029</v>
      </c>
      <c r="J72" s="126"/>
      <c r="K72" s="126"/>
      <c r="L72" s="126"/>
      <c r="M72" s="126"/>
      <c r="N72" s="194"/>
      <c r="O72" s="128"/>
    </row>
    <row r="73" spans="2:15" ht="83.1" hidden="1" customHeight="1" x14ac:dyDescent="0.3">
      <c r="B73" s="563"/>
      <c r="C73" s="621"/>
      <c r="D73" s="183" t="str">
        <f>+D72</f>
        <v>36A</v>
      </c>
      <c r="E73" s="566"/>
      <c r="F73" s="69" t="str">
        <f>D73&amp;"_V2"</f>
        <v>36A_V2</v>
      </c>
      <c r="G73" s="70">
        <f>+VLOOKUP(D73,bd,MATCH(I73,BD_metas!$A$5:$DB$5,0),0)</f>
        <v>0</v>
      </c>
      <c r="H73" s="56" t="s">
        <v>2030</v>
      </c>
      <c r="I73" s="56" t="s">
        <v>1030</v>
      </c>
      <c r="J73" s="50"/>
      <c r="K73" s="50"/>
      <c r="L73" s="50"/>
      <c r="M73" s="50"/>
      <c r="N73" s="192"/>
      <c r="O73" s="71"/>
    </row>
    <row r="74" spans="2:15" ht="41.4" hidden="1" x14ac:dyDescent="0.3">
      <c r="B74" s="563"/>
      <c r="C74" s="621"/>
      <c r="D74" s="183" t="str">
        <f>+D73</f>
        <v>36A</v>
      </c>
      <c r="E74" s="566"/>
      <c r="F74" s="69" t="str">
        <f>D73&amp;"_I1"</f>
        <v>36A_I1</v>
      </c>
      <c r="G74" s="70" t="s">
        <v>1823</v>
      </c>
      <c r="H74" s="56" t="s">
        <v>2031</v>
      </c>
      <c r="I74" s="56" t="s">
        <v>2032</v>
      </c>
      <c r="J74" s="50"/>
      <c r="K74" s="50"/>
      <c r="L74" s="50"/>
      <c r="M74" s="50"/>
      <c r="N74" s="192"/>
      <c r="O74" s="71"/>
    </row>
    <row r="75" spans="2:15" ht="69" hidden="1" x14ac:dyDescent="0.3">
      <c r="B75" s="563"/>
      <c r="C75" s="621"/>
      <c r="D75" s="183" t="str">
        <f>+D74</f>
        <v>36A</v>
      </c>
      <c r="E75" s="566"/>
      <c r="F75" s="69" t="str">
        <f>D75&amp;"_I2"</f>
        <v>36A_I2</v>
      </c>
      <c r="G75" s="70" t="s">
        <v>1824</v>
      </c>
      <c r="H75" s="56" t="s">
        <v>2031</v>
      </c>
      <c r="I75" s="56" t="s">
        <v>2038</v>
      </c>
      <c r="J75" s="50"/>
      <c r="K75" s="50"/>
      <c r="L75" s="50"/>
      <c r="M75" s="50"/>
      <c r="N75" s="192"/>
      <c r="O75" s="71"/>
    </row>
    <row r="76" spans="2:15" ht="55.8" hidden="1" thickBot="1" x14ac:dyDescent="0.35">
      <c r="B76" s="564"/>
      <c r="C76" s="622"/>
      <c r="D76" s="184" t="str">
        <f>+D75</f>
        <v>36A</v>
      </c>
      <c r="E76" s="567"/>
      <c r="F76" s="73" t="str">
        <f>D76&amp;"_I3"</f>
        <v>36A_I3</v>
      </c>
      <c r="G76" s="74" t="s">
        <v>1825</v>
      </c>
      <c r="H76" s="57" t="s">
        <v>2031</v>
      </c>
      <c r="I76" s="57" t="s">
        <v>2042</v>
      </c>
      <c r="J76" s="53"/>
      <c r="K76" s="53"/>
      <c r="L76" s="53"/>
      <c r="M76" s="53"/>
      <c r="N76" s="193"/>
      <c r="O76" s="75"/>
    </row>
    <row r="77" spans="2:15" ht="44.4" hidden="1" customHeight="1" x14ac:dyDescent="0.3">
      <c r="B77" s="562" t="str">
        <f>+VLOOKUP(D77,bd,MATCH("Área o dependencia",bdfila,0),0)</f>
        <v>Subdirección Técnica de Desarrollo Institucional</v>
      </c>
      <c r="C77" s="621" t="str">
        <f>+VLOOKUP(D77,bd,MATCH("PROCESO: ",bdfila,0),0)</f>
        <v>No Aplica</v>
      </c>
      <c r="D77" s="443">
        <f>D20</f>
        <v>37</v>
      </c>
      <c r="E77" s="565" t="str">
        <f>+VLOOKUP($D77,bd,MATCH(E$9,bdfila,0),0)</f>
        <v>Generación de información de calidad para la prevención de prácticas corruptas en la ciudad.</v>
      </c>
      <c r="F77" s="77" t="str">
        <f>D77&amp;"_V1"</f>
        <v>37_V1</v>
      </c>
      <c r="G77" s="124" t="str">
        <f>+VLOOKUP(D77,bd,MATCH(I77,BD_metas!$A$5:$DB$5,0),0)</f>
        <v>Sumatoria de fases ejecutadas en la implementación del Banco  de buenas prácticas en materia de transparencia en las entidades distritales</v>
      </c>
      <c r="H77" s="78" t="s">
        <v>2030</v>
      </c>
      <c r="I77" s="78" t="s">
        <v>1029</v>
      </c>
      <c r="J77" s="126"/>
      <c r="K77" s="126"/>
      <c r="L77" s="126"/>
      <c r="M77" s="126"/>
      <c r="N77" s="194"/>
      <c r="O77" s="128"/>
    </row>
    <row r="78" spans="2:15" ht="83.1" hidden="1" customHeight="1" x14ac:dyDescent="0.3">
      <c r="B78" s="563"/>
      <c r="C78" s="621"/>
      <c r="D78" s="183">
        <f>+D77</f>
        <v>37</v>
      </c>
      <c r="E78" s="566"/>
      <c r="F78" s="69" t="str">
        <f>D78&amp;"_V2"</f>
        <v>37_V2</v>
      </c>
      <c r="G78" s="70" t="str">
        <f>+VLOOKUP(D78,bd,MATCH(I78,BD_metas!$A$5:$DB$5,0),0)</f>
        <v xml:space="preserve"> Sumatoria de fases programadas en la implementación del Banco  de buenas prácticas en materia de transparencia en las entidades distritales)*100</v>
      </c>
      <c r="H78" s="56" t="s">
        <v>2030</v>
      </c>
      <c r="I78" s="56" t="s">
        <v>1030</v>
      </c>
      <c r="J78" s="50"/>
      <c r="K78" s="50"/>
      <c r="L78" s="50"/>
      <c r="M78" s="50"/>
      <c r="N78" s="192"/>
      <c r="O78" s="71"/>
    </row>
    <row r="79" spans="2:15" ht="41.4" hidden="1" x14ac:dyDescent="0.3">
      <c r="B79" s="563"/>
      <c r="C79" s="621"/>
      <c r="D79" s="183">
        <f>+D78</f>
        <v>37</v>
      </c>
      <c r="E79" s="566"/>
      <c r="F79" s="69" t="str">
        <f>D78&amp;"_I1"</f>
        <v>37_I1</v>
      </c>
      <c r="G79" s="70" t="s">
        <v>1823</v>
      </c>
      <c r="H79" s="56" t="s">
        <v>2031</v>
      </c>
      <c r="I79" s="56" t="s">
        <v>2032</v>
      </c>
      <c r="J79" s="50"/>
      <c r="K79" s="50"/>
      <c r="L79" s="50"/>
      <c r="M79" s="50"/>
      <c r="N79" s="192"/>
      <c r="O79" s="71"/>
    </row>
    <row r="80" spans="2:15" ht="69" hidden="1" x14ac:dyDescent="0.3">
      <c r="B80" s="563"/>
      <c r="C80" s="621"/>
      <c r="D80" s="183">
        <f>+D79</f>
        <v>37</v>
      </c>
      <c r="E80" s="566"/>
      <c r="F80" s="69" t="str">
        <f>D80&amp;"_I2"</f>
        <v>37_I2</v>
      </c>
      <c r="G80" s="70" t="s">
        <v>1824</v>
      </c>
      <c r="H80" s="56" t="s">
        <v>2031</v>
      </c>
      <c r="I80" s="56" t="s">
        <v>2038</v>
      </c>
      <c r="J80" s="50"/>
      <c r="K80" s="50"/>
      <c r="L80" s="50"/>
      <c r="M80" s="50"/>
      <c r="N80" s="192"/>
      <c r="O80" s="71"/>
    </row>
    <row r="81" spans="2:15" ht="55.8" hidden="1" thickBot="1" x14ac:dyDescent="0.35">
      <c r="B81" s="564"/>
      <c r="C81" s="622"/>
      <c r="D81" s="184">
        <f>+D80</f>
        <v>37</v>
      </c>
      <c r="E81" s="567"/>
      <c r="F81" s="73" t="str">
        <f>D81&amp;"_I3"</f>
        <v>37_I3</v>
      </c>
      <c r="G81" s="74" t="s">
        <v>1825</v>
      </c>
      <c r="H81" s="57" t="s">
        <v>2031</v>
      </c>
      <c r="I81" s="57" t="s">
        <v>2042</v>
      </c>
      <c r="J81" s="53"/>
      <c r="K81" s="53"/>
      <c r="L81" s="53"/>
      <c r="M81" s="53"/>
      <c r="N81" s="193"/>
      <c r="O81" s="75"/>
    </row>
    <row r="82" spans="2:15" ht="27.6" hidden="1" x14ac:dyDescent="0.3">
      <c r="B82" s="562" t="str">
        <f>+VLOOKUP(D82,bd,MATCH("Área o dependencia",bdfila,0),0)</f>
        <v>Subdirección de Imprenta Distrital</v>
      </c>
      <c r="C82" s="621" t="str">
        <f>+VLOOKUP(D82,bd,MATCH("PROCESO: ",bdfila,0),0)</f>
        <v>No Aplica</v>
      </c>
      <c r="D82" s="443" t="str">
        <f>D21</f>
        <v>42C (SS)</v>
      </c>
      <c r="E82" s="565" t="str">
        <f>+VLOOKUP($D82,bd,MATCH(E$9,bdfila,0),0)</f>
        <v>Desarrollar el Plan de modernización de la imprenta distrital</v>
      </c>
      <c r="F82" s="77" t="str">
        <f>D82&amp;"_V1"</f>
        <v>42C (SS)_V1</v>
      </c>
      <c r="G82" s="124" t="str">
        <f>+VLOOKUP(D82,bd,MATCH(I82,BD_metas!$A$5:$DB$5,0),0)</f>
        <v>Actividades ejecutadas en el período</v>
      </c>
      <c r="H82" s="78" t="s">
        <v>2030</v>
      </c>
      <c r="I82" s="78" t="s">
        <v>1029</v>
      </c>
      <c r="J82" s="126"/>
      <c r="K82" s="126"/>
      <c r="L82" s="126"/>
      <c r="M82" s="126"/>
      <c r="N82" s="194"/>
      <c r="O82" s="128"/>
    </row>
    <row r="83" spans="2:15" ht="27.6" hidden="1" x14ac:dyDescent="0.3">
      <c r="B83" s="563"/>
      <c r="C83" s="621"/>
      <c r="D83" s="183" t="str">
        <f>+D82</f>
        <v>42C (SS)</v>
      </c>
      <c r="E83" s="566"/>
      <c r="F83" s="69" t="str">
        <f>D83&amp;"_V2"</f>
        <v>42C (SS)_V2</v>
      </c>
      <c r="G83" s="70" t="str">
        <f>+VLOOKUP(D83,bd,MATCH(I83,BD_metas!$A$5:$DB$5,0),0)</f>
        <v>Actividades programadas en el período</v>
      </c>
      <c r="H83" s="56" t="s">
        <v>2030</v>
      </c>
      <c r="I83" s="56" t="s">
        <v>1030</v>
      </c>
      <c r="J83" s="50"/>
      <c r="K83" s="50"/>
      <c r="L83" s="50"/>
      <c r="M83" s="50"/>
      <c r="N83" s="192"/>
      <c r="O83" s="71"/>
    </row>
    <row r="84" spans="2:15" ht="41.4" hidden="1" x14ac:dyDescent="0.3">
      <c r="B84" s="563"/>
      <c r="C84" s="621"/>
      <c r="D84" s="183" t="str">
        <f>+D83</f>
        <v>42C (SS)</v>
      </c>
      <c r="E84" s="566"/>
      <c r="F84" s="69" t="str">
        <f>D83&amp;"_I1"</f>
        <v>42C (SS)_I1</v>
      </c>
      <c r="G84" s="70" t="s">
        <v>1823</v>
      </c>
      <c r="H84" s="56" t="s">
        <v>2031</v>
      </c>
      <c r="I84" s="56" t="s">
        <v>2032</v>
      </c>
      <c r="J84" s="50"/>
      <c r="K84" s="50"/>
      <c r="L84" s="50"/>
      <c r="M84" s="50"/>
      <c r="N84" s="192"/>
      <c r="O84" s="71"/>
    </row>
    <row r="85" spans="2:15" ht="69" hidden="1" x14ac:dyDescent="0.3">
      <c r="B85" s="563"/>
      <c r="C85" s="621"/>
      <c r="D85" s="183" t="str">
        <f>+D84</f>
        <v>42C (SS)</v>
      </c>
      <c r="E85" s="566"/>
      <c r="F85" s="69" t="str">
        <f>D85&amp;"_I2"</f>
        <v>42C (SS)_I2</v>
      </c>
      <c r="G85" s="70" t="s">
        <v>1824</v>
      </c>
      <c r="H85" s="56" t="s">
        <v>2031</v>
      </c>
      <c r="I85" s="56" t="s">
        <v>2038</v>
      </c>
      <c r="J85" s="50"/>
      <c r="K85" s="50"/>
      <c r="L85" s="50"/>
      <c r="M85" s="50"/>
      <c r="N85" s="192"/>
      <c r="O85" s="71"/>
    </row>
    <row r="86" spans="2:15" ht="55.8" hidden="1" thickBot="1" x14ac:dyDescent="0.35">
      <c r="B86" s="564"/>
      <c r="C86" s="622"/>
      <c r="D86" s="184" t="str">
        <f>+D85</f>
        <v>42C (SS)</v>
      </c>
      <c r="E86" s="567"/>
      <c r="F86" s="73" t="str">
        <f>D86&amp;"_I3"</f>
        <v>42C (SS)_I3</v>
      </c>
      <c r="G86" s="74" t="s">
        <v>1825</v>
      </c>
      <c r="H86" s="57" t="s">
        <v>2031</v>
      </c>
      <c r="I86" s="57" t="s">
        <v>2042</v>
      </c>
      <c r="J86" s="53"/>
      <c r="K86" s="53"/>
      <c r="L86" s="53"/>
      <c r="M86" s="53"/>
      <c r="N86" s="193"/>
      <c r="O86" s="75"/>
    </row>
    <row r="87" spans="2:15" ht="55.2" x14ac:dyDescent="0.3">
      <c r="B87" s="576" t="str">
        <f>+VLOOKUP(D87,bd,MATCH("Área o dependencia",bdfila,0),0)</f>
        <v>Subsecretaría Técnica</v>
      </c>
      <c r="C87" s="623" t="str">
        <f>+VLOOKUP(D87,bd,MATCH("PROCESO: ",bdfila,0),0)</f>
        <v>No Aplica</v>
      </c>
      <c r="D87" s="442" t="str">
        <f>D22</f>
        <v>10I</v>
      </c>
      <c r="E87" s="573" t="str">
        <f>+VLOOKUP($D87,bd,MATCH(E$9,bdfila,0),0)</f>
        <v xml:space="preserve">Generar informes técnicos de coordinación de la Subsecretaria Técnica. </v>
      </c>
      <c r="F87" s="63" t="str">
        <f>D87&amp;"_V1"</f>
        <v>10I_V1</v>
      </c>
      <c r="G87" s="64" t="str">
        <f>+VLOOKUP(D87,bd,MATCH(I87,BD_metas!$A$5:$DB$5,0),0)</f>
        <v>Informes trimestrales con la orientación y coordinación técnica de la Subsecretaría Técnica</v>
      </c>
      <c r="H87" s="65" t="s">
        <v>2030</v>
      </c>
      <c r="I87" s="65" t="s">
        <v>1029</v>
      </c>
      <c r="J87" s="66"/>
      <c r="K87" s="66"/>
      <c r="L87" s="66">
        <v>1</v>
      </c>
      <c r="M87" s="66"/>
      <c r="N87" s="66"/>
      <c r="O87" s="67">
        <v>1</v>
      </c>
    </row>
    <row r="88" spans="2:15" x14ac:dyDescent="0.3">
      <c r="B88" s="563"/>
      <c r="C88" s="621"/>
      <c r="D88" s="183" t="str">
        <f>+D87</f>
        <v>10I</v>
      </c>
      <c r="E88" s="566"/>
      <c r="F88" s="69" t="str">
        <f>D88&amp;"_V2"</f>
        <v>10I_V2</v>
      </c>
      <c r="G88" s="70">
        <f>+VLOOKUP(D88,bd,MATCH(I88,BD_metas!$A$5:$DB$5,0),0)</f>
        <v>0</v>
      </c>
      <c r="H88" s="56" t="s">
        <v>2030</v>
      </c>
      <c r="I88" s="56" t="s">
        <v>1030</v>
      </c>
      <c r="J88" s="126"/>
      <c r="K88" s="126"/>
      <c r="L88" s="50">
        <v>1</v>
      </c>
      <c r="M88" s="126"/>
      <c r="N88" s="126"/>
      <c r="O88" s="71">
        <v>1</v>
      </c>
    </row>
    <row r="89" spans="2:15" ht="72.75" customHeight="1" x14ac:dyDescent="0.3">
      <c r="B89" s="563"/>
      <c r="C89" s="621"/>
      <c r="D89" s="183" t="str">
        <f>+D88</f>
        <v>10I</v>
      </c>
      <c r="E89" s="566"/>
      <c r="F89" s="69" t="str">
        <f>D88&amp;"_I1"</f>
        <v>10I_I1</v>
      </c>
      <c r="G89" s="70" t="s">
        <v>1823</v>
      </c>
      <c r="H89" s="56" t="s">
        <v>2031</v>
      </c>
      <c r="I89" s="56" t="s">
        <v>2032</v>
      </c>
      <c r="J89" s="126" t="s">
        <v>642</v>
      </c>
      <c r="K89" s="126" t="s">
        <v>642</v>
      </c>
      <c r="L89" s="258" t="s">
        <v>2338</v>
      </c>
      <c r="M89" s="126" t="s">
        <v>642</v>
      </c>
      <c r="N89" s="126" t="s">
        <v>642</v>
      </c>
      <c r="O89" s="402" t="s">
        <v>2339</v>
      </c>
    </row>
    <row r="90" spans="2:15" ht="69" x14ac:dyDescent="0.3">
      <c r="B90" s="563"/>
      <c r="C90" s="621"/>
      <c r="D90" s="183" t="str">
        <f>+D89</f>
        <v>10I</v>
      </c>
      <c r="E90" s="566"/>
      <c r="F90" s="69" t="str">
        <f>D90&amp;"_I2"</f>
        <v>10I_I2</v>
      </c>
      <c r="G90" s="70" t="s">
        <v>1824</v>
      </c>
      <c r="H90" s="56" t="s">
        <v>2031</v>
      </c>
      <c r="I90" s="56" t="s">
        <v>2038</v>
      </c>
      <c r="J90" s="126" t="s">
        <v>642</v>
      </c>
      <c r="K90" s="126" t="s">
        <v>642</v>
      </c>
      <c r="L90" s="50" t="s">
        <v>2340</v>
      </c>
      <c r="M90" s="126" t="s">
        <v>642</v>
      </c>
      <c r="N90" s="126" t="s">
        <v>642</v>
      </c>
      <c r="O90" s="71" t="s">
        <v>2340</v>
      </c>
    </row>
    <row r="91" spans="2:15" ht="90.75" customHeight="1" thickBot="1" x14ac:dyDescent="0.35">
      <c r="B91" s="564"/>
      <c r="C91" s="622"/>
      <c r="D91" s="184" t="str">
        <f>+D90</f>
        <v>10I</v>
      </c>
      <c r="E91" s="567"/>
      <c r="F91" s="73" t="str">
        <f>D91&amp;"_I3"</f>
        <v>10I_I3</v>
      </c>
      <c r="G91" s="74" t="s">
        <v>1825</v>
      </c>
      <c r="H91" s="57" t="s">
        <v>2031</v>
      </c>
      <c r="I91" s="57" t="s">
        <v>2042</v>
      </c>
      <c r="J91" s="175" t="s">
        <v>642</v>
      </c>
      <c r="K91" s="175" t="s">
        <v>642</v>
      </c>
      <c r="L91" s="260" t="s">
        <v>2341</v>
      </c>
      <c r="M91" s="175" t="s">
        <v>642</v>
      </c>
      <c r="N91" s="175" t="s">
        <v>642</v>
      </c>
      <c r="O91" s="403" t="s">
        <v>2342</v>
      </c>
    </row>
  </sheetData>
  <sheetProtection formatColumns="0" formatRows="0"/>
  <protectedRanges>
    <protectedRange algorithmName="SHA-512" hashValue="aDcHh3ey5tt29Or2QDxNC6ZZMF5/czH0wF1JeD5VbWDpTpIuKNb8So7Mn2AouAhSE0vY/cwY/+JAkOrk1IzcaQ==" saltValue="hpfNTMpdABfBS3iKCn7zRQ==" spinCount="100000" sqref="O87:O91" name="subtecnica r2"/>
    <protectedRange algorithmName="SHA-512" hashValue="w6li626oQAnqQz6ZAyhjFyIB8XySz/ZnNjo8TPtA0MeX2t3xAk5a87zHsvpQovKrEqNMTGeXcuAvmLY0N4Z0qg==" saltValue="6roTCGxeYZ5iOEDvd3CscQ==" spinCount="100000" sqref="O62:O71" name="fortalecimiento r2"/>
    <protectedRange algorithmName="SHA-512" hashValue="+f0o+I2Orz6GkFeS4YwPvcax4NTGOYk9v4wNPk5wbdRHFCi+huUR8Dae9jo/suFEETeDHNCa91kkNURxZxQMsg==" saltValue="QTVS729UCHPd9Yvg+0+REA==" spinCount="100000" sqref="O42:O61" name="internacional r2"/>
    <protectedRange algorithmName="SHA-512" hashValue="4aVM4aNXmNp4N+0nnjzBDsywWGXuLxOEUaBYbTMGHtqW2nKYg+aQEaAJ1pXiiEkG0nksulTD5LC9mDTahuSvVg==" saltValue="ZVrRpBLSsdmwurZizrhXTw==" spinCount="100000" sqref="O27:O41" name="archivo r2"/>
    <protectedRange algorithmName="SHA-512" hashValue="KcsdIETqitT8sTR7Zhvh4GB74tEWxb+fEE/IQxZtmD6/JWZ6eG1eujG/Hbry8htk/iCJZTgEZuI/KRgbDerX+Q==" saltValue="w93eACq2JYP3Vfvxcj3kTA==" spinCount="100000" sqref="J22:O22 Q22 S22:V22 J87:N91" name="subtenica r1"/>
    <protectedRange algorithmName="SHA-512" hashValue="u8OuGYLM2jfAy1vXVYEW0G0lj0bD8A4mDTnupkeA0s9aoBB7JV4hTPSaBGOc3nzO4andxS4nyNfR7RGaKTcr5g==" saltValue="z0tQS9T4pj/2JaW40jlaEw==" spinCount="100000" sqref="J17:O20 Q17:Q20 S17:V20 J62:N81" name="fortalecimiento r1"/>
    <protectedRange algorithmName="SHA-512" hashValue="21S9TOtF28wl3Qi4DIAgALhnZ1na/UomrJR5Jjt2EYcrSDzE22sNLnLzWqMnxF/VkCbQ7/AtuKuY9pO8cWkwlw==" saltValue="qTi+u5zwGDT0pIE5NM4nng==" spinCount="100000" sqref="Q10:Q12 S10:V12 J10:O12 J27:N41" name="archivo r1"/>
    <protectedRange algorithmName="SHA-512" hashValue="6wp8TDmvtPfNCy5LH0FSSKF3n1M1HXihissfK/EXlzOYe7REwz2rbwggEPr9x6ZxB+syoDfX63TJLpXrcPsvcw==" saltValue="j5ElPrHWxjEnRo8xEybjQw==" spinCount="100000" sqref="J13:O16 Q13:Q16 S13:V16 J42:N61" name="internacional r1"/>
  </protectedRanges>
  <mergeCells count="65">
    <mergeCell ref="C87:C91"/>
    <mergeCell ref="E67:E71"/>
    <mergeCell ref="F11:G11"/>
    <mergeCell ref="F12:G12"/>
    <mergeCell ref="B87:B91"/>
    <mergeCell ref="B62:B66"/>
    <mergeCell ref="B27:B31"/>
    <mergeCell ref="E27:E31"/>
    <mergeCell ref="B82:B86"/>
    <mergeCell ref="E82:E86"/>
    <mergeCell ref="E87:E91"/>
    <mergeCell ref="C27:C31"/>
    <mergeCell ref="C32:C36"/>
    <mergeCell ref="C82:C86"/>
    <mergeCell ref="C52:C56"/>
    <mergeCell ref="C57:C61"/>
    <mergeCell ref="E62:E66"/>
    <mergeCell ref="C62:C66"/>
    <mergeCell ref="B1:G1"/>
    <mergeCell ref="B2:G2"/>
    <mergeCell ref="S8:V8"/>
    <mergeCell ref="F9:G9"/>
    <mergeCell ref="F10:G10"/>
    <mergeCell ref="B7:D7"/>
    <mergeCell ref="B13:B15"/>
    <mergeCell ref="B24:D24"/>
    <mergeCell ref="B25:D25"/>
    <mergeCell ref="J25:O25"/>
    <mergeCell ref="F18:G18"/>
    <mergeCell ref="F17:G17"/>
    <mergeCell ref="F16:G16"/>
    <mergeCell ref="F15:G15"/>
    <mergeCell ref="F14:G14"/>
    <mergeCell ref="B19:B20"/>
    <mergeCell ref="B17:B18"/>
    <mergeCell ref="B8:D8"/>
    <mergeCell ref="J8:O8"/>
    <mergeCell ref="F13:G13"/>
    <mergeCell ref="F19:G19"/>
    <mergeCell ref="F20:G20"/>
    <mergeCell ref="F21:G21"/>
    <mergeCell ref="F22:G22"/>
    <mergeCell ref="C42:C46"/>
    <mergeCell ref="C47:C51"/>
    <mergeCell ref="B77:B81"/>
    <mergeCell ref="E77:E81"/>
    <mergeCell ref="B72:B76"/>
    <mergeCell ref="E72:E76"/>
    <mergeCell ref="B67:B71"/>
    <mergeCell ref="C67:C71"/>
    <mergeCell ref="C72:C76"/>
    <mergeCell ref="C77:C81"/>
    <mergeCell ref="B42:B46"/>
    <mergeCell ref="E42:E46"/>
    <mergeCell ref="B37:B41"/>
    <mergeCell ref="E37:E41"/>
    <mergeCell ref="B32:B36"/>
    <mergeCell ref="E32:E36"/>
    <mergeCell ref="C37:C41"/>
    <mergeCell ref="B57:B61"/>
    <mergeCell ref="E57:E61"/>
    <mergeCell ref="B52:B56"/>
    <mergeCell ref="E52:E56"/>
    <mergeCell ref="B47:B51"/>
    <mergeCell ref="E47:E51"/>
  </mergeCells>
  <dataValidations count="30">
    <dataValidation allowBlank="1" showInputMessage="1" showErrorMessage="1" prompt="Redacte el avance en la gestión del indicador para cada uno de los meses correspondientes a la fecha de corte del reporte" sqref="J29:O29 J79:O79 J74:O74 J69:O69 J64:O64 J59:O59 J54:O54 J49:O49 J44:O44 J39:O39 J34:O34 J84:O84 J89:O89" xr:uid="{00000000-0002-0000-0C00-000000000000}"/>
    <dataValidation allowBlank="1" showInputMessage="1" showErrorMessage="1" prompt="Diligencie la magnitud de la variable 2 del indicador para cada uno de los meses correspondientes a la fecha de corte del reporte. Este campo aplica unicamente para los indicadores que tienen variable 2." sqref="J28:O28 J78:O78 J73:O73 J68:O68 J63:O63 J58:O58 J53:O53 J48:O48 J43:O43 J33:O33 J88:O88 J83:O83 J38:O38" xr:uid="{00000000-0002-0000-0C00-000001000000}"/>
    <dataValidation allowBlank="1" showInputMessage="1" showErrorMessage="1" prompt="Diligencie la magnitud de la variable 1 del indicador para cada uno de los meses correspondientes a la fecha de corte del reporte" sqref="J27:O27 J77:O77 J72:O72 J67:O67 J62:O62 J57:O57 J52:O52 J47:O47 J42:O42 J37:O37 J32:O32 J82:O82 J87:O87" xr:uid="{00000000-0002-0000-0C00-000002000000}"/>
    <dataValidation allowBlank="1" showInputMessage="1" showErrorMessage="1" prompt="Corresponde a la clasificación de la variable que se reporta." sqref="I27:I91" xr:uid="{00000000-0002-0000-0C00-000003000000}"/>
    <dataValidation allowBlank="1" showInputMessage="1" showErrorMessage="1" prompt="Corresponde al código de la variable que se reporta. Se compone del ID del Indicador y el denotativo de la Variable (V1, V2, I1, I2, I3)" sqref="F27:F91" xr:uid="{00000000-0002-0000-0C00-000004000000}"/>
    <dataValidation allowBlank="1" showInputMessage="1" showErrorMessage="1" prompt="Corresponde al funcionario encargado de realizar el seguimiento del Proyecto de Inversión" sqref="D5:G5" xr:uid="{00000000-0002-0000-0C00-000005000000}"/>
    <dataValidation allowBlank="1" showInputMessage="1" showErrorMessage="1" prompt="Corresponde al nombre del funcionario que ejerce la Gerencia del Proyecto de Inversión" sqref="D4:G4" xr:uid="{00000000-0002-0000-0C00-000006000000}"/>
    <dataValidation allowBlank="1" showInputMessage="1" showErrorMessage="1" prompt="Corresponde al nombre del Proyecto de Inversión" sqref="D3:G3" xr:uid="{00000000-0002-0000-0C00-000007000000}"/>
    <dataValidation type="list" allowBlank="1" showInputMessage="1" showErrorMessage="1" prompt="Corresponde a los ID de los indicadores del Proyecto de Inversión" sqref="D10" xr:uid="{00000000-0002-0000-0C00-000008000000}">
      <formula1>INDIRECT($A$10)</formula1>
    </dataValidation>
    <dataValidation allowBlank="1" showInputMessage="1" showErrorMessage="1" prompt="Redacte los beneficios, logros y resultados del indicador para cada uno de los meses correspondientes a la fecha de corte del reporte" sqref="J81:O81 J76:O76 J71:O71 J66:O66 J61:O61 J56:O56 J51:O51 J46:O46 J41:O41 J31:O31 J36:O36 J86:O86 J91:O91" xr:uid="{00000000-0002-0000-0C00-000009000000}"/>
    <dataValidation allowBlank="1" showInputMessage="1" showErrorMessage="1" prompt="Redacte las dificultades o retrasos, y soluciones propuestas del indicador para cada uno de los meses correspondientes a la fecha de corte del reporte" sqref="J30:O30 J80:O80 J75:O75 J70:O70 J65:O65 J60:O60 J55:O55 J50:O50 J45:O45 J40:O40 J35:O35 J85:O85 J90:O90" xr:uid="{00000000-0002-0000-0C00-00000A000000}"/>
    <dataValidation type="list" allowBlank="1" showInputMessage="1" showErrorMessage="1" prompt="Corresponde a los ID de los indicadores del Proyecto de Inversión" sqref="D13:D15" xr:uid="{00000000-0002-0000-0C00-00000B000000}">
      <formula1>INDIRECT($A$13)</formula1>
    </dataValidation>
    <dataValidation type="list" allowBlank="1" showInputMessage="1" showErrorMessage="1" prompt="Corresponde a los ID de los indicadores del Proyecto de Inversión" sqref="D16" xr:uid="{00000000-0002-0000-0C00-00000C000000}">
      <formula1>INDIRECT($A$16)</formula1>
    </dataValidation>
    <dataValidation allowBlank="1" showInputMessage="1" showErrorMessage="1" prompt="Diligencie la información más actualizada del indicador. En el caso que el proyecto lo requiera: se debe completar, ampliar o modificar la Descripción, las Actividades, los Beneficios y las Fuentes de Verificación que actualmente sea asocian al indicador." sqref="S10:V22" xr:uid="{00000000-0002-0000-0C00-00000D000000}"/>
    <dataValidation allowBlank="1" showInputMessage="1" showErrorMessage="1" prompt="Sólo aplica para los indicadores que cumplan estas dos condiciones: 1) Tendencia Anual = Constante o Creciente. 2) Tendencia Mensual = Suma._x000a_Corresponde a la sumatoria de las magnitudes mensuales programadas para la vigencia." sqref="R10:R22" xr:uid="{00000000-0002-0000-0C00-00000E000000}"/>
    <dataValidation allowBlank="1" showInputMessage="1" showErrorMessage="1" prompt="Corresponde a la Meta Programada para el 2020" sqref="P10:P22" xr:uid="{00000000-0002-0000-0C00-00000F000000}"/>
    <dataValidation allowBlank="1" showInputMessage="1" showErrorMessage="1" prompt="Programe la magnitud de la Meta para cada uno de los meses, tenga en cuenta la Meta total programada para la vigencia, asi como la tendencia y la unidad de medida" sqref="J10:O22" xr:uid="{00000000-0002-0000-0C00-000010000000}"/>
    <dataValidation allowBlank="1" showInputMessage="1" showErrorMessage="1" prompt="Corresponde a la unidad de medida del indicador" sqref="I10:I22" xr:uid="{00000000-0002-0000-0C00-000011000000}"/>
    <dataValidation allowBlank="1" showInputMessage="1" showErrorMessage="1" prompt="Corresponde a la tendencia anual del indicador" sqref="H10:H22" xr:uid="{00000000-0002-0000-0C00-000012000000}"/>
    <dataValidation allowBlank="1" showInputMessage="1" showErrorMessage="1" prompt="Corresponde a los nombres de los indicadores del Proyecto de Inversión" sqref="F10:G22" xr:uid="{00000000-0002-0000-0C00-000013000000}"/>
    <dataValidation allowBlank="1" showInputMessage="1" showErrorMessage="1" prompt="Corresponde a las metas del Proyecto de Inversión" sqref="E10:E22" xr:uid="{00000000-0002-0000-0C00-000014000000}"/>
    <dataValidation type="list" allowBlank="1" showInputMessage="1" showErrorMessage="1" prompt="Seleccione de la lista desplegable la Tendencia Mensual de la Meta. Para esto tenga en cuenta la evolución MENSUAL de la meta programada. Las opciones disponibles son: Constante, Creciente, Suma, Decreciente." sqref="Q10:Q22" xr:uid="{00000000-0002-0000-0C00-000015000000}">
      <formula1>"Constante,Creciente,Decreciente,Suma"</formula1>
    </dataValidation>
    <dataValidation type="list" allowBlank="1" showInputMessage="1" showErrorMessage="1" prompt="Corresponde a los ID de los indicadores del Proyecto de Inversión" sqref="D17 D19" xr:uid="{00000000-0002-0000-0C00-000016000000}">
      <formula1>INDIRECT(A17)</formula1>
    </dataValidation>
    <dataValidation type="list" allowBlank="1" showInputMessage="1" showErrorMessage="1" prompt="Corresponde a la(s) dependencia(s) asociada(s) al Proyecto de Inversión" sqref="B10:B13 B16:B17 B19 B21:B22" xr:uid="{00000000-0002-0000-0C00-000017000000}">
      <formula1>dependencia</formula1>
    </dataValidation>
    <dataValidation type="list" allowBlank="1" showInputMessage="1" showErrorMessage="1" prompt="Corresponde a los ID de los indicadores del Proyecto de Inversión" sqref="D11" xr:uid="{00000000-0002-0000-0C00-000018000000}">
      <formula1>INDIRECT($A$11)</formula1>
    </dataValidation>
    <dataValidation type="list" allowBlank="1" showInputMessage="1" showErrorMessage="1" prompt="Corresponde a los ID de los indicadores del Proyecto de Inversión" sqref="D20" xr:uid="{00000000-0002-0000-0C00-000019000000}">
      <formula1>INDIRECT($A$20)</formula1>
    </dataValidation>
    <dataValidation type="list" allowBlank="1" showInputMessage="1" showErrorMessage="1" prompt="Corresponde a los ID de los indicadores del Proyecto de Inversión" sqref="D22" xr:uid="{00000000-0002-0000-0C00-00001A000000}">
      <formula1>INDIRECT($A$22)</formula1>
    </dataValidation>
    <dataValidation type="list" allowBlank="1" showInputMessage="1" showErrorMessage="1" prompt="Corresponde a los ID de los indicadores del Proyecto de Inversión" sqref="D12" xr:uid="{00000000-0002-0000-0C00-00001B000000}">
      <formula1>INDIRECT($A$12)</formula1>
    </dataValidation>
    <dataValidation type="list" allowBlank="1" showInputMessage="1" showErrorMessage="1" prompt="Corresponde a los ID de los indicadores del Proyecto de Inversión" sqref="D18" xr:uid="{00000000-0002-0000-0C00-00001C000000}">
      <formula1>INDIRECT(A17)</formula1>
    </dataValidation>
    <dataValidation type="list" allowBlank="1" showInputMessage="1" showErrorMessage="1" prompt="Corresponde a los ID de los indicadores del Proyecto de Inversión" sqref="D21" xr:uid="{00000000-0002-0000-0C00-00001D000000}">
      <formula1>INDIRECT($A$21)</formula1>
    </dataValidation>
  </dataValidations>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dimension ref="A1:V73"/>
  <sheetViews>
    <sheetView showGridLines="0" topLeftCell="B15" zoomScale="70" zoomScaleNormal="70" workbookViewId="0">
      <selection activeCell="B9" sqref="B9:G19"/>
    </sheetView>
  </sheetViews>
  <sheetFormatPr baseColWidth="10" defaultColWidth="11.5546875" defaultRowHeight="14.4" x14ac:dyDescent="0.3"/>
  <cols>
    <col min="1" max="1" width="4.6640625" style="15" customWidth="1"/>
    <col min="2" max="3" width="29.109375" style="15" customWidth="1"/>
    <col min="4" max="4" width="11.5546875" style="15"/>
    <col min="5" max="5" width="47" style="15" customWidth="1"/>
    <col min="6" max="6" width="17.33203125" style="15" customWidth="1"/>
    <col min="7" max="7" width="37.109375" style="15" customWidth="1"/>
    <col min="8" max="8" width="20.109375" style="15" customWidth="1"/>
    <col min="9" max="9" width="27.6640625" style="15" customWidth="1"/>
    <col min="10" max="15" width="16.88671875" style="15" customWidth="1"/>
    <col min="16" max="16" width="16.44140625" style="15" customWidth="1"/>
    <col min="17" max="17" width="20.44140625" style="15" customWidth="1"/>
    <col min="18" max="18" width="21.109375" style="15" customWidth="1"/>
    <col min="19" max="19" width="37.33203125" style="15" customWidth="1"/>
    <col min="20" max="20" width="54.33203125" style="15" customWidth="1"/>
    <col min="21" max="21" width="43.109375" style="15" customWidth="1"/>
    <col min="22" max="22" width="50.33203125" style="15" customWidth="1"/>
    <col min="23" max="16384" width="11.5546875" style="15"/>
  </cols>
  <sheetData>
    <row r="1" spans="1:22" ht="23.4" x14ac:dyDescent="0.45">
      <c r="B1" s="579" t="s">
        <v>2004</v>
      </c>
      <c r="C1" s="603"/>
      <c r="D1" s="580"/>
      <c r="E1" s="580"/>
      <c r="F1" s="580"/>
      <c r="G1" s="581"/>
    </row>
    <row r="2" spans="1:22" ht="18.75" customHeight="1" x14ac:dyDescent="0.3">
      <c r="B2" s="582" t="s">
        <v>12</v>
      </c>
      <c r="C2" s="583"/>
      <c r="D2" s="583"/>
      <c r="E2" s="583"/>
      <c r="F2" s="583"/>
      <c r="G2" s="584"/>
    </row>
    <row r="6" spans="1:22" ht="15" thickBot="1" x14ac:dyDescent="0.35"/>
    <row r="7" spans="1:22" ht="18.600000000000001" thickBot="1" x14ac:dyDescent="0.4">
      <c r="B7" s="577" t="s">
        <v>2006</v>
      </c>
      <c r="C7" s="602"/>
      <c r="D7" s="578"/>
    </row>
    <row r="8" spans="1:22" ht="15" thickBot="1" x14ac:dyDescent="0.35">
      <c r="B8" s="606" t="s">
        <v>2007</v>
      </c>
      <c r="C8" s="607"/>
      <c r="D8" s="608"/>
      <c r="J8" s="597" t="s">
        <v>2008</v>
      </c>
      <c r="K8" s="598"/>
      <c r="L8" s="598"/>
      <c r="M8" s="598"/>
      <c r="N8" s="598"/>
      <c r="O8" s="599"/>
      <c r="S8" s="597" t="s">
        <v>2009</v>
      </c>
      <c r="T8" s="598"/>
      <c r="U8" s="598"/>
      <c r="V8" s="599"/>
    </row>
    <row r="9" spans="1:22" ht="31.95" customHeight="1" thickBot="1" x14ac:dyDescent="0.35">
      <c r="B9" s="168" t="s">
        <v>1868</v>
      </c>
      <c r="C9" s="180" t="s">
        <v>2073</v>
      </c>
      <c r="D9" s="169" t="s">
        <v>2010</v>
      </c>
      <c r="E9" s="436" t="s">
        <v>1792</v>
      </c>
      <c r="F9" s="572" t="s">
        <v>541</v>
      </c>
      <c r="G9" s="572"/>
      <c r="H9" s="436" t="s">
        <v>544</v>
      </c>
      <c r="I9" s="436" t="s">
        <v>413</v>
      </c>
      <c r="J9" s="436" t="s">
        <v>419</v>
      </c>
      <c r="K9" s="436" t="s">
        <v>420</v>
      </c>
      <c r="L9" s="436" t="s">
        <v>421</v>
      </c>
      <c r="M9" s="436" t="s">
        <v>422</v>
      </c>
      <c r="N9" s="436" t="s">
        <v>423</v>
      </c>
      <c r="O9" s="436" t="s">
        <v>424</v>
      </c>
      <c r="P9" s="436" t="s">
        <v>425</v>
      </c>
      <c r="Q9" s="436" t="s">
        <v>416</v>
      </c>
      <c r="R9" s="436" t="s">
        <v>417</v>
      </c>
      <c r="S9" s="436" t="s">
        <v>426</v>
      </c>
      <c r="T9" s="436" t="s">
        <v>427</v>
      </c>
      <c r="U9" s="436" t="s">
        <v>428</v>
      </c>
      <c r="V9" s="187" t="s">
        <v>429</v>
      </c>
    </row>
    <row r="10" spans="1:22" ht="43.95" customHeight="1" thickBot="1" x14ac:dyDescent="0.35">
      <c r="A10" s="92" t="str">
        <f t="shared" ref="A10:A19" si="0">+VLOOKUP(B10,responsables,8,0)</f>
        <v>sci</v>
      </c>
      <c r="B10" s="576" t="s">
        <v>127</v>
      </c>
      <c r="C10" s="435" t="str">
        <f t="shared" ref="C10:C19" si="1">+VLOOKUP(D10,bd,MATCH("PROCESO: ",bdfila,0),0)</f>
        <v>Gestión de Políticas públicas Distritales</v>
      </c>
      <c r="D10" s="435" t="s">
        <v>374</v>
      </c>
      <c r="E10" s="435" t="str">
        <f t="shared" ref="E10:I19" si="2">+VLOOKUP($D10,bd,MATCH(E$9,bdfila,0),0)</f>
        <v>Cumplimiento del Plan de trabajo de la política pública de Servicio a la Ciudadanía, bajo los lineamientos del ciclo de política pública.</v>
      </c>
      <c r="F10" s="573" t="str">
        <f t="shared" ref="F10:F19" si="3">+VLOOKUP($D10,bd,MATCH(F$9,bdfila,0),0)</f>
        <v>Política pública de Servicio a la Ciudadanía, con seguimiento al cumplimiento del Plan de trabajo programado, bajo los lineamientos del ciclo de política pública.</v>
      </c>
      <c r="G10" s="573"/>
      <c r="H10" s="435" t="str">
        <f t="shared" si="2"/>
        <v>Suma</v>
      </c>
      <c r="I10" s="435" t="str">
        <f t="shared" si="2"/>
        <v>Porcentaje</v>
      </c>
      <c r="J10" s="66">
        <v>0</v>
      </c>
      <c r="K10" s="66">
        <v>0</v>
      </c>
      <c r="L10" s="66">
        <v>0</v>
      </c>
      <c r="M10" s="66">
        <v>0</v>
      </c>
      <c r="N10" s="66">
        <v>0</v>
      </c>
      <c r="O10" s="66">
        <v>1</v>
      </c>
      <c r="P10" s="121">
        <f t="shared" ref="P10:P19" si="4">+VLOOKUP($D10,bd,MATCH(P$9,bdfila,0),0)</f>
        <v>100</v>
      </c>
      <c r="Q10" s="66" t="s">
        <v>638</v>
      </c>
      <c r="R10" s="173">
        <f>+IF(Q10="Suma",SUM(J10:O10),"")</f>
        <v>1</v>
      </c>
      <c r="S10" s="122">
        <f>+VLOOKUP($D10,bd,MATCH(S$9,BD_metas!$A$5:$DB$5,0),0)</f>
        <v>0</v>
      </c>
      <c r="T10" s="122">
        <f>+VLOOKUP($D10,bd,MATCH(T$9,BD_metas!$A$5:$DB$5,0),0)</f>
        <v>0</v>
      </c>
      <c r="U10" s="122" t="str">
        <f>+VLOOKUP($D10,bd,MATCH(U$9,BD_metas!$A$5:$DB$5,0),0)</f>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
      <c r="V10" s="242" t="s">
        <v>2343</v>
      </c>
    </row>
    <row r="11" spans="1:22" ht="43.95" hidden="1" customHeight="1" thickBot="1" x14ac:dyDescent="0.35">
      <c r="A11" s="92" t="e">
        <f t="shared" si="0"/>
        <v>#N/A</v>
      </c>
      <c r="B11" s="609"/>
      <c r="C11" s="439" t="str">
        <f t="shared" si="1"/>
        <v>Gestión del Sistema Distrital de servicio a la ciudadanía</v>
      </c>
      <c r="D11" s="439" t="s">
        <v>376</v>
      </c>
      <c r="E11" s="439" t="str">
        <f t="shared" si="2"/>
        <v xml:space="preserve">1.2.1 Optimización de la plataforma de guía de Trámites y Servicios del Distrito Capital  </v>
      </c>
      <c r="F11" s="619" t="str">
        <f t="shared" si="3"/>
        <v>[ELIMINADO] Porcentaje de avance en optimización de la Guía de Trámites y Servicios del Distrito</v>
      </c>
      <c r="G11" s="619"/>
      <c r="H11" s="439" t="str">
        <f t="shared" si="2"/>
        <v>Creciente</v>
      </c>
      <c r="I11" s="439" t="str">
        <f t="shared" si="2"/>
        <v>Porcentaje</v>
      </c>
      <c r="J11" s="205">
        <v>0</v>
      </c>
      <c r="K11" s="205">
        <v>0</v>
      </c>
      <c r="L11" s="205">
        <v>0</v>
      </c>
      <c r="M11" s="205">
        <v>0</v>
      </c>
      <c r="N11" s="205">
        <v>0</v>
      </c>
      <c r="O11" s="205">
        <v>0</v>
      </c>
      <c r="P11" s="239" t="str">
        <f t="shared" si="4"/>
        <v>No Disponible / No Aplica</v>
      </c>
      <c r="Q11" s="205" t="s">
        <v>638</v>
      </c>
      <c r="R11" s="240">
        <f>+IF(Q11="Suma",SUM(J11:O11),"")</f>
        <v>0</v>
      </c>
      <c r="S11" s="241" t="str">
        <f>+VLOOKUP($D11,bd,MATCH(S$9,BD_metas!$A$5:$DB$5,0),0)</f>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v>
      </c>
      <c r="T11" s="241" t="str">
        <f>+VLOOKUP($D11,bd,MATCH(T$9,BD_metas!$A$5:$DB$5,0),0)</f>
        <v xml:space="preserve">Gestionar el proceso de optimización Guía de Trámites y Servicios con información estructurada completamente operativa para facilitar su consulta por parte de la ciudadanía </v>
      </c>
      <c r="U11" s="241" t="str">
        <f>+VLOOKUP($D11,bd,MATCH(U$9,BD_metas!$A$5:$DB$5,0),0)</f>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
      <c r="V11" s="242" t="s">
        <v>90</v>
      </c>
    </row>
    <row r="12" spans="1:22" ht="43.95" customHeight="1" x14ac:dyDescent="0.3">
      <c r="A12" s="92" t="str">
        <f t="shared" si="0"/>
        <v>ivc</v>
      </c>
      <c r="B12" s="576" t="s">
        <v>187</v>
      </c>
      <c r="C12" s="435" t="str">
        <f t="shared" si="1"/>
        <v>Gestión del Sistema Distrital de servicio a la ciudadanía</v>
      </c>
      <c r="D12" s="435">
        <v>87</v>
      </c>
      <c r="E12" s="435" t="str">
        <f t="shared" si="2"/>
        <v xml:space="preserve">Actualizar la herramienta tecnológica del SUDIVC </v>
      </c>
      <c r="F12" s="573" t="str">
        <f t="shared" si="3"/>
        <v>Herramienta tecnológica del SUDIVC actualizada</v>
      </c>
      <c r="G12" s="573"/>
      <c r="H12" s="435" t="str">
        <f t="shared" si="2"/>
        <v>Constante</v>
      </c>
      <c r="I12" s="435" t="str">
        <f t="shared" si="2"/>
        <v>Porcentaje</v>
      </c>
      <c r="J12" s="66">
        <v>0</v>
      </c>
      <c r="K12" s="66">
        <v>0</v>
      </c>
      <c r="L12" s="66">
        <v>0</v>
      </c>
      <c r="M12" s="66">
        <v>1</v>
      </c>
      <c r="N12" s="66">
        <v>0</v>
      </c>
      <c r="O12" s="66">
        <v>0</v>
      </c>
      <c r="P12" s="382">
        <f t="shared" si="4"/>
        <v>100</v>
      </c>
      <c r="Q12" s="66" t="s">
        <v>638</v>
      </c>
      <c r="R12" s="173">
        <f>+IF(Q12="Suma",SUM(J12:O12),"")</f>
        <v>1</v>
      </c>
      <c r="S12" s="122" t="str">
        <f>+VLOOKUP($D12,bd,MATCH(S$9,BD_metas!$A$5:$DB$5,0),0)</f>
        <v>Se pretende fortalecer y optimizar los procesos e instrumentos de IVC en el Distrito Capital mediante la actualización de la plataforma tecnológica del SUDIVC. Se espera medir el avance en la adecuación de la herramienta, acorde con los requerimientos de la dependencia.</v>
      </c>
      <c r="T12" s="122" t="str">
        <f>+VLOOKUP($D12,bd,MATCH(T$9,BD_metas!$A$5:$DB$5,0),0)</f>
        <v>Suscribir acuerdos de servicio con las entidades distritales de IVC.
Gestionar elaboración de la matriz de riesgo del SUDIVC.
Realizar pruebas tecnológicas y funcionales de la plataforma IVC.
Realizar y evaluar piloto y ejecutar replica en el DC.</v>
      </c>
      <c r="U12" s="122" t="str">
        <f>+VLOOKUP($D12,bd,MATCH(U$9,BD_metas!$A$5:$DB$5,0),0)</f>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
      <c r="V12" s="242" t="s">
        <v>2344</v>
      </c>
    </row>
    <row r="13" spans="1:22" ht="43.95" customHeight="1" thickBot="1" x14ac:dyDescent="0.35">
      <c r="A13" s="92" t="e">
        <f t="shared" si="0"/>
        <v>#N/A</v>
      </c>
      <c r="B13" s="609"/>
      <c r="C13" s="439" t="str">
        <f t="shared" si="1"/>
        <v>Gestión del Sistema Distrital de servicio a la ciudadanía</v>
      </c>
      <c r="D13" s="439" t="s">
        <v>379</v>
      </c>
      <c r="E13" s="439" t="str">
        <f t="shared" ref="E13:E19" si="5">+VLOOKUP($D13,bd,MATCH(E$9,bdfila,0),0)</f>
        <v>Realizar visitas multidisciplinarias de Alto Riesgo</v>
      </c>
      <c r="F13" s="619" t="str">
        <f t="shared" si="3"/>
        <v>Visitas multidisciplinarias de Alto Riesgo realizadas</v>
      </c>
      <c r="G13" s="619"/>
      <c r="H13" s="439" t="str">
        <f t="shared" si="2"/>
        <v>Suma</v>
      </c>
      <c r="I13" s="439" t="str">
        <f t="shared" si="2"/>
        <v>Número</v>
      </c>
      <c r="J13" s="205">
        <v>1</v>
      </c>
      <c r="K13" s="205">
        <v>0</v>
      </c>
      <c r="L13" s="205">
        <v>1</v>
      </c>
      <c r="M13" s="205">
        <v>0</v>
      </c>
      <c r="N13" s="205">
        <v>0</v>
      </c>
      <c r="O13" s="205">
        <v>0</v>
      </c>
      <c r="P13" s="239">
        <f t="shared" si="4"/>
        <v>2</v>
      </c>
      <c r="Q13" s="205" t="s">
        <v>638</v>
      </c>
      <c r="R13" s="240">
        <f>+IF(Q13="Suma",SUM(J13:O13),"")</f>
        <v>2</v>
      </c>
      <c r="S13" s="241">
        <f>+VLOOKUP($D13,bd,MATCH(S$9,BD_metas!$A$5:$DB$5,0),0)</f>
        <v>0</v>
      </c>
      <c r="T13" s="241">
        <f>+VLOOKUP($D13,bd,MATCH(T$9,BD_metas!$A$5:$DB$5,0),0)</f>
        <v>0</v>
      </c>
      <c r="U13" s="241" t="str">
        <f>+VLOOKUP($D13,bd,MATCH(U$9,BD_metas!$A$5:$DB$5,0),0)</f>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
      <c r="V13" s="242" t="str">
        <f>+VLOOKUP($D13,bd,MATCH(V$9,[4]BD_metas!$A$5:$DB$5,0),0)</f>
        <v xml:space="preserve">Informe de resultados.
</v>
      </c>
    </row>
    <row r="14" spans="1:22" ht="43.95" customHeight="1" x14ac:dyDescent="0.3">
      <c r="A14" s="92" t="str">
        <f t="shared" si="0"/>
        <v>cal</v>
      </c>
      <c r="B14" s="576" t="s">
        <v>183</v>
      </c>
      <c r="C14" s="435" t="str">
        <f t="shared" si="1"/>
        <v>Gestión del Sistema Distrital de servicio a la ciudadanía</v>
      </c>
      <c r="D14" s="435">
        <v>65</v>
      </c>
      <c r="E14" s="435" t="str">
        <f t="shared" si="5"/>
        <v>Evaluar respuestas a requerimientos ciudadanos  en términos de calidad y calidez.</v>
      </c>
      <c r="F14" s="573" t="str">
        <f t="shared" si="3"/>
        <v>Respuestas a requerimientos ciudadanos, evaluadas en términos de calidad y calidez.</v>
      </c>
      <c r="G14" s="573"/>
      <c r="H14" s="435" t="str">
        <f t="shared" si="2"/>
        <v>Suma</v>
      </c>
      <c r="I14" s="435" t="str">
        <f t="shared" si="2"/>
        <v>Número</v>
      </c>
      <c r="J14" s="66">
        <v>1200</v>
      </c>
      <c r="K14" s="66">
        <v>1200</v>
      </c>
      <c r="L14" s="66">
        <v>1200</v>
      </c>
      <c r="M14" s="66">
        <v>1200</v>
      </c>
      <c r="N14" s="66">
        <v>1200</v>
      </c>
      <c r="O14" s="66">
        <v>1200</v>
      </c>
      <c r="P14" s="382">
        <f t="shared" si="4"/>
        <v>7200</v>
      </c>
      <c r="Q14" s="66" t="s">
        <v>638</v>
      </c>
      <c r="R14" s="173">
        <f t="shared" ref="R14:R19" si="6">+IF(Q14="Suma",SUM(J14:O14),"")</f>
        <v>7200</v>
      </c>
      <c r="S14" s="122" t="str">
        <f>+VLOOKUP($D14,bd,MATCH(S$9,BD_metas!$A$5:$DB$5,0),0)</f>
        <v xml:space="preserve">Mide el No de respuestas a requerimientos ciudadanos  evaluadas en términos de calidad y calidez.  </v>
      </c>
      <c r="T14" s="122" t="str">
        <f>+VLOOKUP($D14,bd,MATCH(T$9,BD_metas!$A$5:$DB$5,0),0)</f>
        <v>• Evaluar respuestas a requerimientos ciudadanos  en términos de calidad y calidez.</v>
      </c>
      <c r="U14" s="122" t="str">
        <f>+VLOOKUP($D14,bd,MATCH(U$9,BD_metas!$A$5:$DB$5,0),0)</f>
        <v>Identificar los aspectos a mejorar en la gestión de peticiones ciudadanas de la Secretaría General y entidades distritales en cuanto a los criterios de coherencia, claridad, calidez y oportunidad, y al uso y manejo del Sistema.</v>
      </c>
      <c r="V14" s="123" t="str">
        <f>+VLOOKUP($D14,bd,MATCH(V$9,[4]BD_metas!$A$5:$DB$5,0),0)</f>
        <v>Base de datos de las peticiones evaluadas en términos de calidad y calidez (mes vencido)</v>
      </c>
    </row>
    <row r="15" spans="1:22" ht="43.95" customHeight="1" x14ac:dyDescent="0.3">
      <c r="A15" s="92" t="e">
        <f t="shared" si="0"/>
        <v>#N/A</v>
      </c>
      <c r="B15" s="563"/>
      <c r="C15" s="432" t="str">
        <f t="shared" si="1"/>
        <v>Gestión del Sistema Distrital de servicio a la ciudadanía</v>
      </c>
      <c r="D15" s="432">
        <v>66</v>
      </c>
      <c r="E15" s="432" t="str">
        <f t="shared" si="5"/>
        <v xml:space="preserve"> Realizar monitoreos para la medición, evaluación y seguimiento  del servicio en la Red CADE, en los diferentes canales de interacción ciudadana de la Secretaría General y en otros puntos de la Administración Distrital </v>
      </c>
      <c r="F15" s="566" t="str">
        <f t="shared" si="3"/>
        <v>Monitoreos realizados para  evaluar la prestación del servicio en la Red CADE, en los diferentes canales de interacción ciudadana de la Secretaría General y en otros puntos de la Administración Distrital</v>
      </c>
      <c r="G15" s="566"/>
      <c r="H15" s="432" t="str">
        <f t="shared" si="2"/>
        <v>Suma</v>
      </c>
      <c r="I15" s="432" t="str">
        <f t="shared" si="2"/>
        <v>Número</v>
      </c>
      <c r="J15" s="50">
        <v>5</v>
      </c>
      <c r="K15" s="50">
        <v>8</v>
      </c>
      <c r="L15" s="50">
        <v>8</v>
      </c>
      <c r="M15" s="50">
        <v>0</v>
      </c>
      <c r="N15" s="50">
        <v>0</v>
      </c>
      <c r="O15" s="50">
        <v>0</v>
      </c>
      <c r="P15" s="383">
        <f t="shared" si="4"/>
        <v>21</v>
      </c>
      <c r="Q15" s="50" t="s">
        <v>638</v>
      </c>
      <c r="R15" s="52">
        <f t="shared" si="6"/>
        <v>21</v>
      </c>
      <c r="S15" s="93" t="str">
        <f>+VLOOKUP($D15,bd,MATCH(S$9,BD_metas!$A$5:$DB$5,0),0)</f>
        <v>Mide el No de monitoreos realizados para evaluar la prestación del servicio en la Red CADE, en los diferentes canales de interacción ciudadana de la Secretaría General y en otros puntos de la Administración Distrital</v>
      </c>
      <c r="T15" s="93" t="str">
        <f>+VLOOKUP($D15,bd,MATCH(T$9,BD_metas!$A$5:$DB$5,0),0)</f>
        <v xml:space="preserve">• Realizar monitoreo para la medición, evaluación y seguimiento  del servicio en la Red CADE, en los diferentes canales de interacción ciudadana de la Secretaria General y en otros puntos de la Administración Distrital.
</v>
      </c>
      <c r="U15" s="93" t="str">
        <f>+VLOOKUP($D15,bd,MATCH(U$9,BD_metas!$A$5:$DB$5,0),0)</f>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
      <c r="V15" s="94" t="str">
        <f>+VLOOKUP($D15,bd,MATCH(V$9,[4]BD_metas!$A$5:$DB$5,0),0)</f>
        <v xml:space="preserve">Informes de monitoreo a los puntos de atención monitoreados en el mes anterior. </v>
      </c>
    </row>
    <row r="16" spans="1:22" ht="43.95" customHeight="1" x14ac:dyDescent="0.3">
      <c r="A16" s="92" t="e">
        <f t="shared" si="0"/>
        <v>#N/A</v>
      </c>
      <c r="B16" s="563"/>
      <c r="C16" s="432" t="str">
        <f t="shared" si="1"/>
        <v>Gestión del Sistema Distrital de servicio a la ciudadanía</v>
      </c>
      <c r="D16" s="432">
        <v>67</v>
      </c>
      <c r="E16" s="432" t="str">
        <f t="shared" si="5"/>
        <v>Cualificar servidores(as) en conocimientos, habilidades y actitudes en el servicio a la ciudadanía</v>
      </c>
      <c r="F16" s="566" t="str">
        <f t="shared" si="3"/>
        <v>Servidores  fortalecidos en sus conocimientos, habilidades y actitudes en el servicio a la ciudadanía</v>
      </c>
      <c r="G16" s="566"/>
      <c r="H16" s="432" t="str">
        <f t="shared" si="2"/>
        <v>Suma</v>
      </c>
      <c r="I16" s="432" t="str">
        <f t="shared" si="2"/>
        <v>Número</v>
      </c>
      <c r="J16" s="50">
        <v>10</v>
      </c>
      <c r="K16" s="50">
        <v>100</v>
      </c>
      <c r="L16" s="50">
        <v>207</v>
      </c>
      <c r="M16" s="50">
        <v>393</v>
      </c>
      <c r="N16" s="50">
        <v>450</v>
      </c>
      <c r="O16" s="50">
        <v>450</v>
      </c>
      <c r="P16" s="383">
        <f t="shared" si="4"/>
        <v>1610</v>
      </c>
      <c r="Q16" s="50" t="s">
        <v>638</v>
      </c>
      <c r="R16" s="52">
        <f t="shared" si="6"/>
        <v>1610</v>
      </c>
      <c r="S16" s="93" t="str">
        <f>+VLOOKUP($D16,bd,MATCH(S$9,BD_metas!$A$5:$DB$5,0),0)</f>
        <v>Mide el No de servidores(as)  fortalecidos en sus conocimientos, habilidades y actitudes en el servicio a la ciudadanía.</v>
      </c>
      <c r="T16" s="93" t="str">
        <f>+VLOOKUP($D16,bd,MATCH(T$9,BD_metas!$A$5:$DB$5,0),0)</f>
        <v xml:space="preserve">• Realizar cualificación de servidores  </v>
      </c>
      <c r="U16" s="93" t="str">
        <f>+VLOOKUP($D16,bd,MATCH(U$9,BD_metas!$A$5:$DB$5,0),0)</f>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
      <c r="V16" s="94" t="str">
        <f>+VLOOKUP($D16,bd,MATCH(V$9,[4]BD_metas!$A$5:$DB$5,0),0)</f>
        <v>Registros de Asistencia  (Formato 2211300-FT-211 PDF)
Cuadro resumen de cualificaciones</v>
      </c>
    </row>
    <row r="17" spans="1:22" ht="43.95" customHeight="1" x14ac:dyDescent="0.3">
      <c r="A17" s="92" t="e">
        <f t="shared" si="0"/>
        <v>#N/A</v>
      </c>
      <c r="B17" s="563"/>
      <c r="C17" s="432" t="str">
        <f t="shared" si="1"/>
        <v>No Aplica</v>
      </c>
      <c r="D17" s="432">
        <v>69</v>
      </c>
      <c r="E17" s="432" t="str">
        <f t="shared" si="5"/>
        <v xml:space="preserve">Realizar con administradores y/o usuarios del Sistema Distrital para la Gestión de Peticiones Ciudadanas. capacitaciones en la funcionalidad, configuración, manejo y uso general del sistema </v>
      </c>
      <c r="F17" s="566" t="str">
        <f t="shared" si="3"/>
        <v xml:space="preserve">Capacitaciones en la funcionalidad, configuración, manejo y uso general de la herramienta Bogotá te Escucha-Sistema Distrital para la Gestión de Peticiones Ciudadanas, realizadas a sus administradores y/o usuarios </v>
      </c>
      <c r="G17" s="566"/>
      <c r="H17" s="432" t="str">
        <f t="shared" si="2"/>
        <v>Constante</v>
      </c>
      <c r="I17" s="432" t="str">
        <f t="shared" si="2"/>
        <v>Número</v>
      </c>
      <c r="J17" s="50">
        <v>0</v>
      </c>
      <c r="K17" s="50">
        <v>1</v>
      </c>
      <c r="L17" s="50">
        <v>2</v>
      </c>
      <c r="M17" s="50">
        <v>3</v>
      </c>
      <c r="N17" s="50">
        <v>2</v>
      </c>
      <c r="O17" s="50">
        <v>2</v>
      </c>
      <c r="P17" s="51">
        <f t="shared" si="4"/>
        <v>10</v>
      </c>
      <c r="Q17" s="50" t="s">
        <v>638</v>
      </c>
      <c r="R17" s="52">
        <f t="shared" si="6"/>
        <v>10</v>
      </c>
      <c r="S17" s="93" t="str">
        <f>+VLOOKUP($D17,bd,MATCH(S$9,BD_metas!$A$5:$DB$5,0),0)</f>
        <v xml:space="preserve">Mide el No de capacitaciones en  la funcionalidad, configuración, manejo y uso general de la herramienta Bogotá te Escucha-Sistema Distrital para la Gestión de Peticiones Ciudadanas, realizadas a sus administradores y/o usuarios 
</v>
      </c>
      <c r="T17" s="93" t="str">
        <f>+VLOOKUP($D17,bd,MATCH(T$9,BD_metas!$A$5:$DB$5,0),0)</f>
        <v>• Capacitar a los administradores del Sistema Distrital para la Gestión de Peticiones Ciudadanas, de las entidades distritales, en funcionalidad, configuración, uso y manejo del sistema.</v>
      </c>
      <c r="U17" s="93" t="str">
        <f>+VLOOKUP($D17,bd,MATCH(U$9,BD_metas!$A$5:$DB$5,0),0)</f>
        <v xml:space="preserve">La capacitación funcional fortalece las competencias de los servidores para operar y administrar el Sistema Distrital para la gestión de peticiones ciudadanas.     </v>
      </c>
      <c r="V17" s="94" t="str">
        <f>+VLOOKUP($D17,bd,MATCH(V$9,[4]BD_metas!$A$5:$DB$5,0),0)</f>
        <v>Registros de Asistencia  (Formato 2211300-FT-211 PDF)</v>
      </c>
    </row>
    <row r="18" spans="1:22" ht="95.25" customHeight="1" x14ac:dyDescent="0.3">
      <c r="A18" s="92" t="e">
        <f t="shared" si="0"/>
        <v>#N/A</v>
      </c>
      <c r="B18" s="563"/>
      <c r="C18" s="432" t="str">
        <f t="shared" si="1"/>
        <v>Gestión del Sistema Distrital de servicio a la ciudadanía</v>
      </c>
      <c r="D18" s="432" t="s">
        <v>377</v>
      </c>
      <c r="E18" s="432" t="str">
        <f t="shared" si="5"/>
        <v>Realizar el seguimiento a la calidad y calidez de las respuestas emitidas por parte de la Secretaría General y entidades distritales a través del sistema de gestión de peticiones ciudadanas</v>
      </c>
      <c r="F18" s="566" t="str">
        <f t="shared" si="3"/>
        <v xml:space="preserve">Dependencias de la Secretaría General y entidades distritales retroalimentadas/ Dependencias de la Secretaría General y entidades distritales que presentan observaciones a sus respuestas evaluadas”. </v>
      </c>
      <c r="G18" s="566"/>
      <c r="H18" s="432" t="str">
        <f t="shared" si="2"/>
        <v>Constante</v>
      </c>
      <c r="I18" s="432" t="str">
        <f t="shared" si="2"/>
        <v>Porcentaje</v>
      </c>
      <c r="J18" s="50">
        <v>100</v>
      </c>
      <c r="K18" s="50">
        <v>100</v>
      </c>
      <c r="L18" s="50">
        <v>100</v>
      </c>
      <c r="M18" s="50">
        <v>100</v>
      </c>
      <c r="N18" s="50">
        <v>100</v>
      </c>
      <c r="O18" s="50">
        <v>100</v>
      </c>
      <c r="P18" s="383">
        <f t="shared" si="4"/>
        <v>100</v>
      </c>
      <c r="Q18" s="50" t="s">
        <v>601</v>
      </c>
      <c r="R18" s="52" t="str">
        <f t="shared" si="6"/>
        <v/>
      </c>
      <c r="S18" s="93" t="str">
        <f>+VLOOKUP($D18,bd,MATCH(S$9,BD_metas!$A$5:$DB$5,0),0)</f>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
      <c r="T18" s="93">
        <f>+VLOOKUP($D18,bd,MATCH(T$9,BD_metas!$A$5:$DB$5,0),0)</f>
        <v>0</v>
      </c>
      <c r="U18" s="93" t="str">
        <f>+VLOOKUP($D18,bd,MATCH(U$9,BD_metas!$A$5:$DB$5,0),0)</f>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
      <c r="V18" s="94" t="str">
        <f>+VLOOKUP($D18,bd,MATCH(V$9,[4]BD_metas!$A$5:$DB$5,0),0)</f>
        <v>Comunicaciones enviadas a las dependencias de la Secretaría General que presenten alguna observación a sus respuestas evaluadas y a las entidades distritales que presenten  observaciones al 10% o más de sus respuestas evaluadas ( mes vencido)</v>
      </c>
    </row>
    <row r="19" spans="1:22" ht="92.25" customHeight="1" thickBot="1" x14ac:dyDescent="0.35">
      <c r="A19" s="92" t="e">
        <f t="shared" si="0"/>
        <v>#N/A</v>
      </c>
      <c r="B19" s="564"/>
      <c r="C19" s="433" t="str">
        <f t="shared" si="1"/>
        <v>Gestión del Sistema Distrital de servicio a la ciudadanía</v>
      </c>
      <c r="D19" s="433" t="s">
        <v>378</v>
      </c>
      <c r="E19" s="433" t="str">
        <f t="shared" si="5"/>
        <v>Realizar seguimiento a los requerimientos vencidos según los términos de ley en la Secretaría General y en las entidades distritales, registrados en el Sistema Distrital de Quejas y Soluciones.</v>
      </c>
      <c r="F19" s="567" t="str">
        <f t="shared" si="3"/>
        <v xml:space="preserve">Comunicaciones de seguimiento a peticiones vencidas en la  Secretaría  General y entidades distritales.
</v>
      </c>
      <c r="G19" s="567"/>
      <c r="H19" s="433" t="str">
        <f t="shared" si="2"/>
        <v>Constante</v>
      </c>
      <c r="I19" s="433" t="str">
        <f t="shared" si="2"/>
        <v>Porcentaje</v>
      </c>
      <c r="J19" s="50">
        <v>100</v>
      </c>
      <c r="K19" s="50">
        <v>100</v>
      </c>
      <c r="L19" s="50">
        <v>100</v>
      </c>
      <c r="M19" s="50">
        <v>100</v>
      </c>
      <c r="N19" s="50">
        <v>100</v>
      </c>
      <c r="O19" s="50">
        <v>100</v>
      </c>
      <c r="P19" s="384">
        <f t="shared" si="4"/>
        <v>100</v>
      </c>
      <c r="Q19" s="53" t="s">
        <v>601</v>
      </c>
      <c r="R19" s="55" t="str">
        <f t="shared" si="6"/>
        <v/>
      </c>
      <c r="S19" s="95" t="str">
        <f>+VLOOKUP($D19,bd,MATCH(S$9,BD_metas!$A$5:$DB$5,0),0)</f>
        <v>Realizar seguimiento a los requerimientos vencidos según los términos de ley en la Secretaría General y en las entidades distritales, registrados en el Sistema Distrital de Quejas y Soluciones.</v>
      </c>
      <c r="T19" s="95">
        <f>+VLOOKUP($D19,bd,MATCH(T$9,BD_metas!$A$5:$DB$5,0),0)</f>
        <v>0</v>
      </c>
      <c r="U19" s="95" t="str">
        <f>+VLOOKUP($D19,bd,MATCH(U$9,BD_metas!$A$5:$DB$5,0),0)</f>
        <v>Realizar seguimiento a los requerimientos vencidos en términos de Ley,  promoviendo a nivel Distrital la adecuada atención  de peticiones ciudadanas dentro de los tiempos establecidos por la ley.</v>
      </c>
      <c r="V19" s="96" t="str">
        <f>+VLOOKUP($D19,bd,MATCH(V$9,[4]BD_metas!$A$5:$DB$5,0),0)</f>
        <v xml:space="preserve">Comunicaciones enviadas para realizar seguimiento a peticiones vencidas (reporte mes vencido)     </v>
      </c>
    </row>
    <row r="20" spans="1:22" ht="15" thickBot="1" x14ac:dyDescent="0.35"/>
    <row r="21" spans="1:22" ht="18.600000000000001" customHeight="1" thickBot="1" x14ac:dyDescent="0.4">
      <c r="B21" s="568" t="s">
        <v>2017</v>
      </c>
      <c r="C21" s="595"/>
      <c r="D21" s="569"/>
    </row>
    <row r="22" spans="1:22" ht="15" thickBot="1" x14ac:dyDescent="0.35">
      <c r="B22" s="570" t="s">
        <v>2018</v>
      </c>
      <c r="C22" s="605"/>
      <c r="D22" s="571"/>
      <c r="J22" s="616" t="s">
        <v>2019</v>
      </c>
      <c r="K22" s="617"/>
      <c r="L22" s="617"/>
      <c r="M22" s="617"/>
      <c r="N22" s="617"/>
      <c r="O22" s="618"/>
    </row>
    <row r="23" spans="1:22" ht="29.4" customHeight="1" thickBot="1" x14ac:dyDescent="0.35">
      <c r="B23" s="58" t="s">
        <v>1868</v>
      </c>
      <c r="C23" s="181" t="s">
        <v>2073</v>
      </c>
      <c r="D23" s="59" t="s">
        <v>2010</v>
      </c>
      <c r="E23" s="59" t="s">
        <v>1792</v>
      </c>
      <c r="F23" s="59" t="s">
        <v>2020</v>
      </c>
      <c r="G23" s="59" t="s">
        <v>2021</v>
      </c>
      <c r="H23" s="59" t="s">
        <v>2022</v>
      </c>
      <c r="I23" s="59" t="s">
        <v>2023</v>
      </c>
      <c r="J23" s="60" t="s">
        <v>391</v>
      </c>
      <c r="K23" s="60" t="s">
        <v>392</v>
      </c>
      <c r="L23" s="60" t="s">
        <v>393</v>
      </c>
      <c r="M23" s="60" t="s">
        <v>394</v>
      </c>
      <c r="N23" s="61" t="s">
        <v>395</v>
      </c>
      <c r="O23" s="61" t="s">
        <v>396</v>
      </c>
    </row>
    <row r="24" spans="1:22" ht="44.4" customHeight="1" x14ac:dyDescent="0.3">
      <c r="B24" s="576" t="str">
        <f>+VLOOKUP(D24,bd,MATCH("Área o dependencia",bdfila,0),0)</f>
        <v>Subsecretaría de Servicio a la Ciudadanía</v>
      </c>
      <c r="C24" s="611" t="str">
        <f>+VLOOKUP(D24,bd,MATCH("PROCESO: ",bdfila,0),0)</f>
        <v>Gestión de Políticas públicas Distritales</v>
      </c>
      <c r="D24" s="442" t="str">
        <f>+D10</f>
        <v>56A</v>
      </c>
      <c r="E24" s="604" t="str">
        <f>+VLOOKUP($D24,bd,MATCH(E$9,bdfila,0),0)</f>
        <v>Cumplimiento del Plan de trabajo de la política pública de Servicio a la Ciudadanía, bajo los lineamientos del ciclo de política pública.</v>
      </c>
      <c r="F24" s="63" t="str">
        <f>D24&amp;"_V1"</f>
        <v>56A_V1</v>
      </c>
      <c r="G24" s="64" t="str">
        <f>+VLOOKUP(D24,bd,MATCH(I24,BD_metas!$A$5:$DB$5,0),0)</f>
        <v>Hitos del plan de trabajo de la política pública cumplidos</v>
      </c>
      <c r="H24" s="65" t="s">
        <v>2030</v>
      </c>
      <c r="I24" s="65" t="s">
        <v>1029</v>
      </c>
      <c r="J24" s="103">
        <v>0</v>
      </c>
      <c r="K24" s="103">
        <v>0</v>
      </c>
      <c r="L24" s="103">
        <v>0</v>
      </c>
      <c r="M24" s="66">
        <v>1</v>
      </c>
      <c r="N24" s="191">
        <v>0</v>
      </c>
      <c r="O24" s="191">
        <v>0</v>
      </c>
    </row>
    <row r="25" spans="1:22" ht="27.6" x14ac:dyDescent="0.3">
      <c r="B25" s="563"/>
      <c r="C25" s="612"/>
      <c r="D25" s="183" t="str">
        <f>+D24</f>
        <v>56A</v>
      </c>
      <c r="E25" s="593"/>
      <c r="F25" s="69" t="str">
        <f>D25&amp;"_V2"</f>
        <v>56A_V2</v>
      </c>
      <c r="G25" s="70" t="str">
        <f>+VLOOKUP(D25,bd,MATCH(I25,BD_metas!$A$5:$DB$5,0),0)</f>
        <v>Hitos del plan de trabajo de la política pública programados</v>
      </c>
      <c r="H25" s="56" t="s">
        <v>2030</v>
      </c>
      <c r="I25" s="56" t="s">
        <v>1030</v>
      </c>
      <c r="J25" s="104">
        <v>0</v>
      </c>
      <c r="K25" s="104">
        <v>0</v>
      </c>
      <c r="L25" s="104">
        <v>0</v>
      </c>
      <c r="M25" s="50">
        <v>1</v>
      </c>
      <c r="N25" s="192">
        <v>0</v>
      </c>
      <c r="O25" s="192">
        <v>0</v>
      </c>
    </row>
    <row r="26" spans="1:22" ht="96" customHeight="1" x14ac:dyDescent="0.3">
      <c r="B26" s="563"/>
      <c r="C26" s="612"/>
      <c r="D26" s="183" t="str">
        <f>+D25</f>
        <v>56A</v>
      </c>
      <c r="E26" s="593"/>
      <c r="F26" s="69" t="str">
        <f>D25&amp;"_I1"</f>
        <v>56A_I1</v>
      </c>
      <c r="G26" s="70" t="s">
        <v>1823</v>
      </c>
      <c r="H26" s="56" t="s">
        <v>2031</v>
      </c>
      <c r="I26" s="56" t="s">
        <v>2032</v>
      </c>
      <c r="J26" s="104">
        <v>0</v>
      </c>
      <c r="K26" s="104">
        <v>0</v>
      </c>
      <c r="L26" s="108" t="s">
        <v>2345</v>
      </c>
      <c r="M26" s="108" t="s">
        <v>2346</v>
      </c>
      <c r="N26" s="185">
        <v>0</v>
      </c>
      <c r="O26" s="185">
        <v>0</v>
      </c>
    </row>
    <row r="27" spans="1:22" ht="41.4" x14ac:dyDescent="0.3">
      <c r="B27" s="563"/>
      <c r="C27" s="612"/>
      <c r="D27" s="183" t="str">
        <f>+D26</f>
        <v>56A</v>
      </c>
      <c r="E27" s="593"/>
      <c r="F27" s="69" t="str">
        <f>D27&amp;"_I2"</f>
        <v>56A_I2</v>
      </c>
      <c r="G27" s="70" t="s">
        <v>1824</v>
      </c>
      <c r="H27" s="56" t="s">
        <v>2031</v>
      </c>
      <c r="I27" s="56" t="s">
        <v>2038</v>
      </c>
      <c r="J27" s="104" t="s">
        <v>642</v>
      </c>
      <c r="K27" s="104" t="s">
        <v>642</v>
      </c>
      <c r="L27" s="104" t="s">
        <v>642</v>
      </c>
      <c r="M27" s="104" t="s">
        <v>642</v>
      </c>
      <c r="N27" s="104" t="s">
        <v>642</v>
      </c>
      <c r="O27" s="104" t="s">
        <v>642</v>
      </c>
    </row>
    <row r="28" spans="1:22" ht="42" thickBot="1" x14ac:dyDescent="0.35">
      <c r="B28" s="609"/>
      <c r="C28" s="615"/>
      <c r="D28" s="183" t="str">
        <f>+D27</f>
        <v>56A</v>
      </c>
      <c r="E28" s="610"/>
      <c r="F28" s="202" t="str">
        <f>D28&amp;"_I3"</f>
        <v>56A_I3</v>
      </c>
      <c r="G28" s="203" t="s">
        <v>1825</v>
      </c>
      <c r="H28" s="204" t="s">
        <v>2031</v>
      </c>
      <c r="I28" s="204" t="s">
        <v>2042</v>
      </c>
      <c r="J28" s="292" t="s">
        <v>642</v>
      </c>
      <c r="K28" s="292" t="s">
        <v>642</v>
      </c>
      <c r="L28" s="292" t="s">
        <v>642</v>
      </c>
      <c r="M28" s="292" t="s">
        <v>2347</v>
      </c>
      <c r="N28" s="292" t="s">
        <v>642</v>
      </c>
      <c r="O28" s="292" t="s">
        <v>642</v>
      </c>
    </row>
    <row r="29" spans="1:22" ht="41.4" x14ac:dyDescent="0.3">
      <c r="B29" s="576" t="str">
        <f>+VLOOKUP(D29,bd,MATCH("Área o dependencia",bdfila,0),0)</f>
        <v>Subsecretaría de Servicio a la Ciudadanía</v>
      </c>
      <c r="C29" s="611" t="str">
        <f>+VLOOKUP(D29,bd,MATCH("PROCESO: ",bdfila,0),0)</f>
        <v>Gestión del Sistema Distrital de servicio a la ciudadanía</v>
      </c>
      <c r="D29" s="442" t="str">
        <f>D11</f>
        <v>78A</v>
      </c>
      <c r="E29" s="604" t="str">
        <f>+VLOOKUP($D29,bd,MATCH(E$9,bdfila,0),0)</f>
        <v xml:space="preserve">1.2.1 Optimización de la plataforma de guía de Trámites y Servicios del Distrito Capital  </v>
      </c>
      <c r="F29" s="63" t="str">
        <f>D29&amp;"_V1"</f>
        <v>78A_V1</v>
      </c>
      <c r="G29" s="64" t="str">
        <f>+VLOOKUP(D29,bd,MATCH(I29,BD_metas!$A$5:$DB$5,0),0)</f>
        <v>Sumatoria de fases ejecutadas para la optimización de la Guía de Trámites y Servicios del Distrito</v>
      </c>
      <c r="H29" s="65" t="s">
        <v>2030</v>
      </c>
      <c r="I29" s="65" t="s">
        <v>1029</v>
      </c>
      <c r="J29" s="103">
        <v>0</v>
      </c>
      <c r="K29" s="103">
        <v>0</v>
      </c>
      <c r="L29" s="103">
        <v>0</v>
      </c>
      <c r="M29" s="103">
        <v>0</v>
      </c>
      <c r="N29" s="103">
        <v>0</v>
      </c>
      <c r="O29" s="103">
        <v>0</v>
      </c>
    </row>
    <row r="30" spans="1:22" ht="41.4" x14ac:dyDescent="0.3">
      <c r="B30" s="563"/>
      <c r="C30" s="612"/>
      <c r="D30" s="183" t="str">
        <f>+D29</f>
        <v>78A</v>
      </c>
      <c r="E30" s="593"/>
      <c r="F30" s="69" t="str">
        <f>D30&amp;"_V2"</f>
        <v>78A_V2</v>
      </c>
      <c r="G30" s="70" t="str">
        <f>+VLOOKUP(D30,bd,MATCH(I30,BD_metas!$A$5:$DB$5,0),0)</f>
        <v>Sumatoria de fases programadas para la optimización de la Guía de Trámites y Servicios del Distrito)</v>
      </c>
      <c r="H30" s="56" t="s">
        <v>2030</v>
      </c>
      <c r="I30" s="56" t="s">
        <v>1030</v>
      </c>
      <c r="J30" s="104">
        <v>0</v>
      </c>
      <c r="K30" s="104">
        <v>0</v>
      </c>
      <c r="L30" s="104">
        <v>0</v>
      </c>
      <c r="M30" s="104">
        <v>0</v>
      </c>
      <c r="N30" s="104">
        <v>0</v>
      </c>
      <c r="O30" s="104">
        <v>0</v>
      </c>
    </row>
    <row r="31" spans="1:22" ht="102" customHeight="1" x14ac:dyDescent="0.3">
      <c r="B31" s="563"/>
      <c r="C31" s="612"/>
      <c r="D31" s="183" t="str">
        <f>+D30</f>
        <v>78A</v>
      </c>
      <c r="E31" s="593"/>
      <c r="F31" s="69" t="str">
        <f>D30&amp;"_I1"</f>
        <v>78A_I1</v>
      </c>
      <c r="G31" s="70" t="s">
        <v>1823</v>
      </c>
      <c r="H31" s="56" t="s">
        <v>2031</v>
      </c>
      <c r="I31" s="56" t="s">
        <v>2032</v>
      </c>
      <c r="J31" s="108" t="s">
        <v>2348</v>
      </c>
      <c r="K31" s="108" t="s">
        <v>2348</v>
      </c>
      <c r="L31" s="108" t="s">
        <v>2348</v>
      </c>
      <c r="M31" s="108" t="s">
        <v>2348</v>
      </c>
      <c r="N31" s="108" t="s">
        <v>2348</v>
      </c>
      <c r="O31" s="108" t="s">
        <v>2348</v>
      </c>
    </row>
    <row r="32" spans="1:22" ht="41.4" x14ac:dyDescent="0.3">
      <c r="B32" s="563"/>
      <c r="C32" s="612"/>
      <c r="D32" s="183" t="str">
        <f>+D31</f>
        <v>78A</v>
      </c>
      <c r="E32" s="593"/>
      <c r="F32" s="69" t="str">
        <f>D32&amp;"_I2"</f>
        <v>78A_I2</v>
      </c>
      <c r="G32" s="70" t="s">
        <v>1824</v>
      </c>
      <c r="H32" s="56" t="s">
        <v>2031</v>
      </c>
      <c r="I32" s="56" t="s">
        <v>2038</v>
      </c>
      <c r="J32" s="104" t="s">
        <v>642</v>
      </c>
      <c r="K32" s="104" t="s">
        <v>642</v>
      </c>
      <c r="L32" s="104" t="s">
        <v>642</v>
      </c>
      <c r="M32" s="104" t="s">
        <v>642</v>
      </c>
      <c r="N32" s="104" t="s">
        <v>642</v>
      </c>
      <c r="O32" s="104" t="s">
        <v>642</v>
      </c>
    </row>
    <row r="33" spans="2:15" ht="42" thickBot="1" x14ac:dyDescent="0.35">
      <c r="B33" s="564"/>
      <c r="C33" s="613"/>
      <c r="D33" s="184" t="str">
        <f>+D32</f>
        <v>78A</v>
      </c>
      <c r="E33" s="594"/>
      <c r="F33" s="73" t="str">
        <f>D33&amp;"_I3"</f>
        <v>78A_I3</v>
      </c>
      <c r="G33" s="74" t="s">
        <v>1825</v>
      </c>
      <c r="H33" s="57" t="s">
        <v>2031</v>
      </c>
      <c r="I33" s="57" t="s">
        <v>2042</v>
      </c>
      <c r="J33" s="107" t="s">
        <v>642</v>
      </c>
      <c r="K33" s="107" t="s">
        <v>642</v>
      </c>
      <c r="L33" s="107" t="s">
        <v>642</v>
      </c>
      <c r="M33" s="107" t="s">
        <v>642</v>
      </c>
      <c r="N33" s="107" t="s">
        <v>642</v>
      </c>
      <c r="O33" s="107" t="s">
        <v>642</v>
      </c>
    </row>
    <row r="34" spans="2:15" ht="38.25" customHeight="1" x14ac:dyDescent="0.3">
      <c r="B34" s="576" t="str">
        <f>+VLOOKUP(D34,bd,MATCH("Área o dependencia",bdfila,0),0)</f>
        <v>Subdirección de Seguimiento a la  Gestión de Inspección, Vigilancia y  Control</v>
      </c>
      <c r="C34" s="611" t="str">
        <f>+VLOOKUP(D34,bd,MATCH("PROCESO: ",bdfila,0),0)</f>
        <v>Gestión del Sistema Distrital de servicio a la ciudadanía</v>
      </c>
      <c r="D34" s="442">
        <f>D12</f>
        <v>87</v>
      </c>
      <c r="E34" s="604" t="str">
        <f>+VLOOKUP($D34,bd,MATCH(E$9,bdfila,0),0)</f>
        <v xml:space="preserve">Actualizar la herramienta tecnológica del SUDIVC </v>
      </c>
      <c r="F34" s="63" t="str">
        <f>D34&amp;"_V1"</f>
        <v>87_V1</v>
      </c>
      <c r="G34" s="64" t="str">
        <f>+VLOOKUP(D34,bd,MATCH(I34,BD_metas!$A$5:$DB$5,0),0)</f>
        <v>Número de fases ejecutadas</v>
      </c>
      <c r="H34" s="65" t="s">
        <v>2030</v>
      </c>
      <c r="I34" s="65" t="s">
        <v>1029</v>
      </c>
      <c r="J34" s="103">
        <v>0</v>
      </c>
      <c r="K34" s="103">
        <v>0</v>
      </c>
      <c r="L34" s="103">
        <v>0</v>
      </c>
      <c r="M34" s="66">
        <v>1</v>
      </c>
      <c r="N34" s="103">
        <v>0</v>
      </c>
      <c r="O34" s="67">
        <v>0</v>
      </c>
    </row>
    <row r="35" spans="2:15" x14ac:dyDescent="0.3">
      <c r="B35" s="563"/>
      <c r="C35" s="612"/>
      <c r="D35" s="183">
        <f>+D34</f>
        <v>87</v>
      </c>
      <c r="E35" s="593"/>
      <c r="F35" s="69" t="str">
        <f>D35&amp;"_V2"</f>
        <v>87_V2</v>
      </c>
      <c r="G35" s="70" t="str">
        <f>+VLOOKUP(D35,bd,MATCH(I35,BD_metas!$A$5:$DB$5,0),0)</f>
        <v>Total de fases programadas</v>
      </c>
      <c r="H35" s="56" t="s">
        <v>2030</v>
      </c>
      <c r="I35" s="56" t="s">
        <v>1030</v>
      </c>
      <c r="J35" s="50">
        <v>0</v>
      </c>
      <c r="K35" s="50">
        <v>0</v>
      </c>
      <c r="L35" s="50">
        <v>0</v>
      </c>
      <c r="M35" s="50">
        <v>1</v>
      </c>
      <c r="N35" s="192">
        <v>0</v>
      </c>
      <c r="O35" s="71">
        <v>0</v>
      </c>
    </row>
    <row r="36" spans="2:15" ht="85.5" customHeight="1" x14ac:dyDescent="0.3">
      <c r="B36" s="563"/>
      <c r="C36" s="612"/>
      <c r="D36" s="183">
        <f>+D35</f>
        <v>87</v>
      </c>
      <c r="E36" s="593"/>
      <c r="F36" s="69" t="str">
        <f>D35&amp;"_I1"</f>
        <v>87_I1</v>
      </c>
      <c r="G36" s="70" t="s">
        <v>1823</v>
      </c>
      <c r="H36" s="56" t="s">
        <v>2031</v>
      </c>
      <c r="I36" s="56" t="s">
        <v>2032</v>
      </c>
      <c r="J36" s="282" t="s">
        <v>2349</v>
      </c>
      <c r="K36" s="282" t="s">
        <v>2350</v>
      </c>
      <c r="L36" s="282" t="s">
        <v>2351</v>
      </c>
      <c r="M36" s="282" t="s">
        <v>2352</v>
      </c>
      <c r="N36" s="104" t="s">
        <v>642</v>
      </c>
      <c r="O36" s="104" t="s">
        <v>642</v>
      </c>
    </row>
    <row r="37" spans="2:15" ht="85.5" customHeight="1" x14ac:dyDescent="0.3">
      <c r="B37" s="563"/>
      <c r="C37" s="612"/>
      <c r="D37" s="183">
        <f>+D36</f>
        <v>87</v>
      </c>
      <c r="E37" s="593"/>
      <c r="F37" s="69" t="str">
        <f>D37&amp;"_I2"</f>
        <v>87_I2</v>
      </c>
      <c r="G37" s="70" t="s">
        <v>1824</v>
      </c>
      <c r="H37" s="56" t="s">
        <v>2031</v>
      </c>
      <c r="I37" s="56" t="s">
        <v>2038</v>
      </c>
      <c r="J37" s="104" t="s">
        <v>642</v>
      </c>
      <c r="K37" s="104" t="s">
        <v>642</v>
      </c>
      <c r="L37" s="104" t="s">
        <v>642</v>
      </c>
      <c r="M37" s="104" t="s">
        <v>642</v>
      </c>
      <c r="N37" s="104" t="s">
        <v>642</v>
      </c>
      <c r="O37" s="104" t="s">
        <v>642</v>
      </c>
    </row>
    <row r="38" spans="2:15" ht="85.5" customHeight="1" thickBot="1" x14ac:dyDescent="0.35">
      <c r="B38" s="609"/>
      <c r="C38" s="615"/>
      <c r="D38" s="183">
        <f>+D37</f>
        <v>87</v>
      </c>
      <c r="E38" s="610"/>
      <c r="F38" s="202" t="str">
        <f>D38&amp;"_I3"</f>
        <v>87_I3</v>
      </c>
      <c r="G38" s="203" t="s">
        <v>1825</v>
      </c>
      <c r="H38" s="204" t="s">
        <v>2031</v>
      </c>
      <c r="I38" s="204" t="s">
        <v>2042</v>
      </c>
      <c r="J38" s="289" t="s">
        <v>642</v>
      </c>
      <c r="K38" s="293" t="s">
        <v>642</v>
      </c>
      <c r="L38" s="293" t="s">
        <v>642</v>
      </c>
      <c r="M38" s="291" t="s">
        <v>2353</v>
      </c>
      <c r="N38" s="292" t="s">
        <v>642</v>
      </c>
      <c r="O38" s="292" t="s">
        <v>642</v>
      </c>
    </row>
    <row r="39" spans="2:15" ht="15" customHeight="1" x14ac:dyDescent="0.3">
      <c r="B39" s="576" t="str">
        <f>+VLOOKUP(D39,bd,MATCH("Área o dependencia",bdfila,0),0)</f>
        <v>Subdirección de Seguimiento a la  Gestión de Inspección, Vigilancia y  Control</v>
      </c>
      <c r="C39" s="611" t="str">
        <f>+VLOOKUP(D39,bd,MATCH("PROCESO: ",bdfila,0),0)</f>
        <v>Gestión del Sistema Distrital de servicio a la ciudadanía</v>
      </c>
      <c r="D39" s="442" t="str">
        <f>D13</f>
        <v>87A</v>
      </c>
      <c r="E39" s="604" t="str">
        <f>+VLOOKUP($D39,bd,MATCH(E$9,bdfila,0),0)</f>
        <v>Realizar visitas multidisciplinarias de Alto Riesgo</v>
      </c>
      <c r="F39" s="63" t="str">
        <f>D39&amp;"_V1"</f>
        <v>87A_V1</v>
      </c>
      <c r="G39" s="64" t="str">
        <f>+VLOOKUP(D39,bd,MATCH(I39,BD_metas!$A$5:$DB$5,0),0)</f>
        <v>Visitas multidisciplinarias de Alto Riesgo realizadas</v>
      </c>
      <c r="H39" s="65" t="s">
        <v>2030</v>
      </c>
      <c r="I39" s="65" t="s">
        <v>1029</v>
      </c>
      <c r="J39" s="103">
        <v>1</v>
      </c>
      <c r="K39" s="103">
        <v>0</v>
      </c>
      <c r="L39" s="103">
        <v>1</v>
      </c>
      <c r="M39" s="103">
        <v>0</v>
      </c>
      <c r="N39" s="103">
        <v>0</v>
      </c>
      <c r="O39" s="67">
        <v>0</v>
      </c>
    </row>
    <row r="40" spans="2:15" x14ac:dyDescent="0.3">
      <c r="B40" s="563"/>
      <c r="C40" s="612"/>
      <c r="D40" s="183" t="str">
        <f>+D39</f>
        <v>87A</v>
      </c>
      <c r="E40" s="593"/>
      <c r="F40" s="69" t="str">
        <f>D40&amp;"_V2"</f>
        <v>87A_V2</v>
      </c>
      <c r="G40" s="70">
        <f>+VLOOKUP(D40,bd,MATCH(I40,BD_metas!$A$5:$DB$5,0),0)</f>
        <v>0</v>
      </c>
      <c r="H40" s="56" t="s">
        <v>2030</v>
      </c>
      <c r="I40" s="56" t="s">
        <v>1030</v>
      </c>
      <c r="J40" s="50"/>
      <c r="K40" s="50"/>
      <c r="L40" s="50"/>
      <c r="M40" s="50"/>
      <c r="N40" s="192"/>
      <c r="O40" s="71"/>
    </row>
    <row r="41" spans="2:15" ht="82.5" customHeight="1" x14ac:dyDescent="0.3">
      <c r="B41" s="563"/>
      <c r="C41" s="612"/>
      <c r="D41" s="183" t="str">
        <f>+D40</f>
        <v>87A</v>
      </c>
      <c r="E41" s="593"/>
      <c r="F41" s="69" t="str">
        <f>D40&amp;"_I1"</f>
        <v>87A_I1</v>
      </c>
      <c r="G41" s="70" t="s">
        <v>1823</v>
      </c>
      <c r="H41" s="56" t="s">
        <v>2031</v>
      </c>
      <c r="I41" s="56" t="s">
        <v>2032</v>
      </c>
      <c r="J41" s="283" t="s">
        <v>2354</v>
      </c>
      <c r="K41" s="104" t="s">
        <v>642</v>
      </c>
      <c r="L41" s="283" t="s">
        <v>2355</v>
      </c>
      <c r="M41" s="104" t="s">
        <v>642</v>
      </c>
      <c r="N41" s="104" t="s">
        <v>642</v>
      </c>
      <c r="O41" s="104" t="s">
        <v>642</v>
      </c>
    </row>
    <row r="42" spans="2:15" ht="82.5" customHeight="1" x14ac:dyDescent="0.3">
      <c r="B42" s="563"/>
      <c r="C42" s="612"/>
      <c r="D42" s="183" t="str">
        <f>+D41</f>
        <v>87A</v>
      </c>
      <c r="E42" s="593"/>
      <c r="F42" s="69" t="str">
        <f>D42&amp;"_I2"</f>
        <v>87A_I2</v>
      </c>
      <c r="G42" s="70" t="s">
        <v>1824</v>
      </c>
      <c r="H42" s="56" t="s">
        <v>2031</v>
      </c>
      <c r="I42" s="56" t="s">
        <v>2038</v>
      </c>
      <c r="J42" s="104" t="s">
        <v>642</v>
      </c>
      <c r="K42" s="104" t="s">
        <v>642</v>
      </c>
      <c r="L42" s="104" t="s">
        <v>642</v>
      </c>
      <c r="M42" s="104" t="s">
        <v>642</v>
      </c>
      <c r="N42" s="104" t="s">
        <v>642</v>
      </c>
      <c r="O42" s="104" t="s">
        <v>642</v>
      </c>
    </row>
    <row r="43" spans="2:15" ht="82.5" customHeight="1" thickBot="1" x14ac:dyDescent="0.35">
      <c r="B43" s="609"/>
      <c r="C43" s="615"/>
      <c r="D43" s="183" t="str">
        <f>+D42</f>
        <v>87A</v>
      </c>
      <c r="E43" s="610"/>
      <c r="F43" s="202" t="str">
        <f>D43&amp;"_I3"</f>
        <v>87A_I3</v>
      </c>
      <c r="G43" s="203" t="s">
        <v>1825</v>
      </c>
      <c r="H43" s="204" t="s">
        <v>2031</v>
      </c>
      <c r="I43" s="204" t="s">
        <v>2042</v>
      </c>
      <c r="J43" s="291" t="s">
        <v>2356</v>
      </c>
      <c r="K43" s="292" t="s">
        <v>642</v>
      </c>
      <c r="L43" s="291" t="s">
        <v>2356</v>
      </c>
      <c r="M43" s="292" t="s">
        <v>642</v>
      </c>
      <c r="N43" s="292" t="s">
        <v>642</v>
      </c>
      <c r="O43" s="292" t="s">
        <v>642</v>
      </c>
    </row>
    <row r="44" spans="2:15" ht="31.5" customHeight="1" x14ac:dyDescent="0.3">
      <c r="B44" s="576" t="str">
        <f>+VLOOKUP(D44,bd,MATCH("Área o dependencia",bdfila,0),0)</f>
        <v>Dirección Distrital de Calidad del Servicio</v>
      </c>
      <c r="C44" s="611" t="str">
        <f>+VLOOKUP(D44,bd,MATCH("PROCESO: ",bdfila,0),0)</f>
        <v>Gestión del Sistema Distrital de servicio a la ciudadanía</v>
      </c>
      <c r="D44" s="442">
        <f>D14</f>
        <v>65</v>
      </c>
      <c r="E44" s="604" t="str">
        <f>+VLOOKUP($D44,bd,MATCH(E$9,bdfila,0),0)</f>
        <v>Evaluar respuestas a requerimientos ciudadanos  en términos de calidad y calidez.</v>
      </c>
      <c r="F44" s="63" t="str">
        <f>D44&amp;"_V1"</f>
        <v>65_V1</v>
      </c>
      <c r="G44" s="64" t="str">
        <f>+VLOOKUP(D44,bd,MATCH(I44,BD_metas!$A$5:$DB$5,0),0)</f>
        <v>Sumatoria de respuestas evaluadas</v>
      </c>
      <c r="H44" s="65" t="s">
        <v>2030</v>
      </c>
      <c r="I44" s="65" t="s">
        <v>1029</v>
      </c>
      <c r="J44" s="357">
        <v>1225</v>
      </c>
      <c r="K44" s="357">
        <v>1734</v>
      </c>
      <c r="L44" s="357">
        <v>1635</v>
      </c>
      <c r="M44" s="358">
        <v>2169</v>
      </c>
      <c r="N44" s="359">
        <v>1544</v>
      </c>
      <c r="O44" s="407">
        <v>1811</v>
      </c>
    </row>
    <row r="45" spans="2:15" ht="31.5" customHeight="1" x14ac:dyDescent="0.3">
      <c r="B45" s="563"/>
      <c r="C45" s="612"/>
      <c r="D45" s="183">
        <f>+D44</f>
        <v>65</v>
      </c>
      <c r="E45" s="593"/>
      <c r="F45" s="69" t="str">
        <f>D45&amp;"_V2"</f>
        <v>65_V2</v>
      </c>
      <c r="G45" s="70">
        <f>+VLOOKUP(D45,bd,MATCH(I45,BD_metas!$A$5:$DB$5,0),0)</f>
        <v>0</v>
      </c>
      <c r="H45" s="56" t="s">
        <v>2030</v>
      </c>
      <c r="I45" s="56" t="s">
        <v>1030</v>
      </c>
      <c r="J45" s="104"/>
      <c r="K45" s="104"/>
      <c r="L45" s="104"/>
      <c r="M45" s="50"/>
      <c r="N45" s="192"/>
      <c r="O45" s="71"/>
    </row>
    <row r="46" spans="2:15" ht="82.5" customHeight="1" x14ac:dyDescent="0.3">
      <c r="B46" s="563"/>
      <c r="C46" s="612"/>
      <c r="D46" s="183">
        <f>+D45</f>
        <v>65</v>
      </c>
      <c r="E46" s="593"/>
      <c r="F46" s="69" t="str">
        <f>D45&amp;"_I1"</f>
        <v>65_I1</v>
      </c>
      <c r="G46" s="70" t="s">
        <v>1823</v>
      </c>
      <c r="H46" s="56" t="s">
        <v>2031</v>
      </c>
      <c r="I46" s="56" t="s">
        <v>2032</v>
      </c>
      <c r="J46" s="360" t="s">
        <v>2357</v>
      </c>
      <c r="K46" s="361" t="s">
        <v>2358</v>
      </c>
      <c r="L46" s="250" t="s">
        <v>2359</v>
      </c>
      <c r="M46" s="250" t="s">
        <v>2360</v>
      </c>
      <c r="N46" s="250" t="s">
        <v>2361</v>
      </c>
      <c r="O46" s="408" t="s">
        <v>2362</v>
      </c>
    </row>
    <row r="47" spans="2:15" ht="82.5" customHeight="1" x14ac:dyDescent="0.3">
      <c r="B47" s="563"/>
      <c r="C47" s="612"/>
      <c r="D47" s="183">
        <f>+D46</f>
        <v>65</v>
      </c>
      <c r="E47" s="593"/>
      <c r="F47" s="69" t="str">
        <f>D47&amp;"_I2"</f>
        <v>65_I2</v>
      </c>
      <c r="G47" s="70" t="s">
        <v>1824</v>
      </c>
      <c r="H47" s="56" t="s">
        <v>2031</v>
      </c>
      <c r="I47" s="56" t="s">
        <v>2038</v>
      </c>
      <c r="J47" s="108" t="s">
        <v>2363</v>
      </c>
      <c r="K47" s="108" t="s">
        <v>2363</v>
      </c>
      <c r="L47" s="108" t="s">
        <v>2363</v>
      </c>
      <c r="M47" s="108" t="s">
        <v>2363</v>
      </c>
      <c r="N47" s="108" t="s">
        <v>2363</v>
      </c>
      <c r="O47" s="71" t="s">
        <v>2363</v>
      </c>
    </row>
    <row r="48" spans="2:15" ht="82.5" customHeight="1" thickBot="1" x14ac:dyDescent="0.35">
      <c r="B48" s="609"/>
      <c r="C48" s="615"/>
      <c r="D48" s="183">
        <f>+D47</f>
        <v>65</v>
      </c>
      <c r="E48" s="610"/>
      <c r="F48" s="202" t="str">
        <f>D48&amp;"_I3"</f>
        <v>65_I3</v>
      </c>
      <c r="G48" s="203" t="s">
        <v>1825</v>
      </c>
      <c r="H48" s="204" t="s">
        <v>2031</v>
      </c>
      <c r="I48" s="204" t="s">
        <v>2042</v>
      </c>
      <c r="J48" s="361" t="s">
        <v>2364</v>
      </c>
      <c r="K48" s="361" t="s">
        <v>2365</v>
      </c>
      <c r="L48" s="361" t="s">
        <v>2366</v>
      </c>
      <c r="M48" s="361" t="s">
        <v>2367</v>
      </c>
      <c r="N48" s="361" t="s">
        <v>2368</v>
      </c>
      <c r="O48" s="361" t="s">
        <v>2369</v>
      </c>
    </row>
    <row r="49" spans="2:15" ht="30.75" customHeight="1" x14ac:dyDescent="0.3">
      <c r="B49" s="576" t="str">
        <f>+VLOOKUP(D49,bd,MATCH("Área o dependencia",bdfila,0),0)</f>
        <v>Dirección Distrital de Calidad del Servicio</v>
      </c>
      <c r="C49" s="611" t="str">
        <f>+VLOOKUP(D49,bd,MATCH("PROCESO: ",bdfila,0),0)</f>
        <v>Gestión del Sistema Distrital de servicio a la ciudadanía</v>
      </c>
      <c r="D49" s="442">
        <f>D15</f>
        <v>66</v>
      </c>
      <c r="E49" s="604" t="str">
        <f>+VLOOKUP($D49,bd,MATCH(E$9,bdfila,0),0)</f>
        <v xml:space="preserve"> Realizar monitoreos para la medición, evaluación y seguimiento  del servicio en la Red CADE, en los diferentes canales de interacción ciudadana de la Secretaría General y en otros puntos de la Administración Distrital </v>
      </c>
      <c r="F49" s="63" t="str">
        <f>D49&amp;"_V1"</f>
        <v>66_V1</v>
      </c>
      <c r="G49" s="64" t="str">
        <f>+VLOOKUP(D49,bd,MATCH(I49,BD_metas!$A$5:$DB$5,0),0)</f>
        <v>Monitoreos realizados</v>
      </c>
      <c r="H49" s="65" t="s">
        <v>2030</v>
      </c>
      <c r="I49" s="65" t="s">
        <v>1029</v>
      </c>
      <c r="J49" s="103">
        <v>5</v>
      </c>
      <c r="K49" s="103">
        <v>8</v>
      </c>
      <c r="L49" s="103">
        <v>12</v>
      </c>
      <c r="M49" s="66">
        <v>0</v>
      </c>
      <c r="N49" s="191">
        <v>0</v>
      </c>
      <c r="O49" s="67">
        <v>0</v>
      </c>
    </row>
    <row r="50" spans="2:15" ht="30.75" customHeight="1" x14ac:dyDescent="0.3">
      <c r="B50" s="563"/>
      <c r="C50" s="612"/>
      <c r="D50" s="183">
        <f>+D49</f>
        <v>66</v>
      </c>
      <c r="E50" s="593"/>
      <c r="F50" s="69" t="str">
        <f>D50&amp;"_V2"</f>
        <v>66_V2</v>
      </c>
      <c r="G50" s="70">
        <f>+VLOOKUP(D50,bd,MATCH(I50,BD_metas!$A$5:$DB$5,0),0)</f>
        <v>0</v>
      </c>
      <c r="H50" s="56" t="s">
        <v>2030</v>
      </c>
      <c r="I50" s="56" t="s">
        <v>1030</v>
      </c>
      <c r="J50" s="104"/>
      <c r="K50" s="104"/>
      <c r="L50" s="104"/>
      <c r="M50" s="50"/>
      <c r="N50" s="192"/>
      <c r="O50" s="71"/>
    </row>
    <row r="51" spans="2:15" ht="82.5" customHeight="1" x14ac:dyDescent="0.3">
      <c r="B51" s="563"/>
      <c r="C51" s="612"/>
      <c r="D51" s="183">
        <f>+D50</f>
        <v>66</v>
      </c>
      <c r="E51" s="593"/>
      <c r="F51" s="69" t="str">
        <f>D50&amp;"_I1"</f>
        <v>66_I1</v>
      </c>
      <c r="G51" s="70" t="s">
        <v>1823</v>
      </c>
      <c r="H51" s="56" t="s">
        <v>2031</v>
      </c>
      <c r="I51" s="56" t="s">
        <v>2032</v>
      </c>
      <c r="J51" s="250" t="s">
        <v>2370</v>
      </c>
      <c r="K51" s="250" t="s">
        <v>2371</v>
      </c>
      <c r="L51" s="250" t="s">
        <v>2372</v>
      </c>
      <c r="M51" s="108" t="s">
        <v>2363</v>
      </c>
      <c r="N51" s="108" t="s">
        <v>2363</v>
      </c>
      <c r="O51" s="108" t="s">
        <v>2363</v>
      </c>
    </row>
    <row r="52" spans="2:15" ht="82.5" customHeight="1" x14ac:dyDescent="0.3">
      <c r="B52" s="563"/>
      <c r="C52" s="612"/>
      <c r="D52" s="183">
        <f>+D51</f>
        <v>66</v>
      </c>
      <c r="E52" s="593"/>
      <c r="F52" s="69" t="str">
        <f>D52&amp;"_I2"</f>
        <v>66_I2</v>
      </c>
      <c r="G52" s="70" t="s">
        <v>1824</v>
      </c>
      <c r="H52" s="56" t="s">
        <v>2031</v>
      </c>
      <c r="I52" s="56" t="s">
        <v>2038</v>
      </c>
      <c r="J52" s="108" t="s">
        <v>2363</v>
      </c>
      <c r="K52" s="108" t="s">
        <v>2363</v>
      </c>
      <c r="L52" s="108" t="s">
        <v>2363</v>
      </c>
      <c r="M52" s="108" t="s">
        <v>2363</v>
      </c>
      <c r="N52" s="108" t="s">
        <v>642</v>
      </c>
      <c r="O52" s="108" t="s">
        <v>642</v>
      </c>
    </row>
    <row r="53" spans="2:15" ht="82.5" customHeight="1" thickBot="1" x14ac:dyDescent="0.35">
      <c r="B53" s="609"/>
      <c r="C53" s="615"/>
      <c r="D53" s="183">
        <f>+D52</f>
        <v>66</v>
      </c>
      <c r="E53" s="610"/>
      <c r="F53" s="202" t="str">
        <f>D53&amp;"_I3"</f>
        <v>66_I3</v>
      </c>
      <c r="G53" s="203" t="s">
        <v>1825</v>
      </c>
      <c r="H53" s="204" t="s">
        <v>2031</v>
      </c>
      <c r="I53" s="204" t="s">
        <v>2042</v>
      </c>
      <c r="J53" s="362" t="s">
        <v>2373</v>
      </c>
      <c r="K53" s="362" t="s">
        <v>2374</v>
      </c>
      <c r="L53" s="362" t="s">
        <v>2375</v>
      </c>
      <c r="M53" s="290" t="s">
        <v>2363</v>
      </c>
      <c r="N53" s="290" t="s">
        <v>2363</v>
      </c>
      <c r="O53" s="290" t="s">
        <v>2363</v>
      </c>
    </row>
    <row r="54" spans="2:15" ht="41.4" x14ac:dyDescent="0.3">
      <c r="B54" s="576" t="str">
        <f>+VLOOKUP(D54,bd,MATCH("Área o dependencia",bdfila,0),0)</f>
        <v>Dirección Distrital de Calidad del Servicio</v>
      </c>
      <c r="C54" s="611" t="str">
        <f>+VLOOKUP(D54,bd,MATCH("PROCESO: ",bdfila,0),0)</f>
        <v>Gestión del Sistema Distrital de servicio a la ciudadanía</v>
      </c>
      <c r="D54" s="442">
        <f>D16</f>
        <v>67</v>
      </c>
      <c r="E54" s="604" t="str">
        <f>+VLOOKUP($D54,bd,MATCH(E$9,bdfila,0),0)</f>
        <v>Cualificar servidores(as) en conocimientos, habilidades y actitudes en el servicio a la ciudadanía</v>
      </c>
      <c r="F54" s="63" t="str">
        <f>D54&amp;"_V1"</f>
        <v>67_V1</v>
      </c>
      <c r="G54" s="64" t="str">
        <f>+VLOOKUP(D54,bd,MATCH(I54,BD_metas!$A$5:$DB$5,0),0)</f>
        <v>Servidores (as) públicos cualificados en conocimientos, habilidades y actitudes en el servicio a la ciudadanía</v>
      </c>
      <c r="H54" s="65" t="s">
        <v>2030</v>
      </c>
      <c r="I54" s="65" t="s">
        <v>1029</v>
      </c>
      <c r="J54" s="103">
        <v>11</v>
      </c>
      <c r="K54" s="103">
        <v>104</v>
      </c>
      <c r="L54" s="103">
        <v>207</v>
      </c>
      <c r="M54" s="66">
        <v>745</v>
      </c>
      <c r="N54" s="191">
        <v>777</v>
      </c>
      <c r="O54" s="67">
        <v>810</v>
      </c>
    </row>
    <row r="55" spans="2:15" x14ac:dyDescent="0.3">
      <c r="B55" s="563"/>
      <c r="C55" s="612"/>
      <c r="D55" s="183">
        <f>+D54</f>
        <v>67</v>
      </c>
      <c r="E55" s="593"/>
      <c r="F55" s="69" t="str">
        <f>D55&amp;"_V2"</f>
        <v>67_V2</v>
      </c>
      <c r="G55" s="70">
        <f>+VLOOKUP(D55,bd,MATCH(I55,BD_metas!$A$5:$DB$5,0),0)</f>
        <v>0</v>
      </c>
      <c r="H55" s="56" t="s">
        <v>2030</v>
      </c>
      <c r="I55" s="56" t="s">
        <v>1030</v>
      </c>
      <c r="J55" s="104"/>
      <c r="K55" s="104"/>
      <c r="L55" s="104"/>
      <c r="M55" s="50"/>
      <c r="N55" s="192"/>
      <c r="O55" s="71"/>
    </row>
    <row r="56" spans="2:15" ht="82.5" customHeight="1" x14ac:dyDescent="0.3">
      <c r="B56" s="563"/>
      <c r="C56" s="612"/>
      <c r="D56" s="183">
        <f>+D55</f>
        <v>67</v>
      </c>
      <c r="E56" s="593"/>
      <c r="F56" s="69" t="str">
        <f>D55&amp;"_I1"</f>
        <v>67_I1</v>
      </c>
      <c r="G56" s="70" t="s">
        <v>1823</v>
      </c>
      <c r="H56" s="56" t="s">
        <v>2031</v>
      </c>
      <c r="I56" s="56" t="s">
        <v>2032</v>
      </c>
      <c r="J56" s="250" t="s">
        <v>2376</v>
      </c>
      <c r="K56" s="250" t="s">
        <v>2377</v>
      </c>
      <c r="L56" s="250" t="s">
        <v>2378</v>
      </c>
      <c r="M56" s="250" t="s">
        <v>2379</v>
      </c>
      <c r="N56" s="250" t="s">
        <v>2380</v>
      </c>
      <c r="O56" s="409" t="s">
        <v>2381</v>
      </c>
    </row>
    <row r="57" spans="2:15" ht="82.5" customHeight="1" x14ac:dyDescent="0.3">
      <c r="B57" s="563"/>
      <c r="C57" s="612"/>
      <c r="D57" s="183">
        <f>+D56</f>
        <v>67</v>
      </c>
      <c r="E57" s="593"/>
      <c r="F57" s="69" t="str">
        <f>D57&amp;"_I2"</f>
        <v>67_I2</v>
      </c>
      <c r="G57" s="70" t="s">
        <v>1824</v>
      </c>
      <c r="H57" s="56" t="s">
        <v>2031</v>
      </c>
      <c r="I57" s="56" t="s">
        <v>2038</v>
      </c>
      <c r="J57" s="108" t="s">
        <v>42</v>
      </c>
      <c r="K57" s="108" t="s">
        <v>2363</v>
      </c>
      <c r="L57" s="108" t="s">
        <v>2363</v>
      </c>
      <c r="M57" s="108" t="s">
        <v>2363</v>
      </c>
      <c r="N57" s="108" t="s">
        <v>642</v>
      </c>
      <c r="O57" s="71" t="s">
        <v>2363</v>
      </c>
    </row>
    <row r="58" spans="2:15" ht="82.5" customHeight="1" thickBot="1" x14ac:dyDescent="0.35">
      <c r="B58" s="609"/>
      <c r="C58" s="615"/>
      <c r="D58" s="183">
        <f>+D57</f>
        <v>67</v>
      </c>
      <c r="E58" s="610"/>
      <c r="F58" s="202" t="str">
        <f>D58&amp;"_I3"</f>
        <v>67_I3</v>
      </c>
      <c r="G58" s="203" t="s">
        <v>1825</v>
      </c>
      <c r="H58" s="204" t="s">
        <v>2031</v>
      </c>
      <c r="I58" s="204" t="s">
        <v>2042</v>
      </c>
      <c r="J58" s="362" t="s">
        <v>2382</v>
      </c>
      <c r="K58" s="362" t="s">
        <v>2383</v>
      </c>
      <c r="L58" s="362" t="s">
        <v>2384</v>
      </c>
      <c r="M58" s="363" t="s">
        <v>2385</v>
      </c>
      <c r="N58" s="363" t="s">
        <v>2386</v>
      </c>
      <c r="O58" s="363" t="s">
        <v>2387</v>
      </c>
    </row>
    <row r="59" spans="2:15" ht="25.5" customHeight="1" x14ac:dyDescent="0.3">
      <c r="B59" s="576" t="str">
        <f>+VLOOKUP(D59,bd,MATCH("Área o dependencia",bdfila,0),0)</f>
        <v>Dirección Distrital de Calidad del Servicio</v>
      </c>
      <c r="C59" s="611" t="str">
        <f>+VLOOKUP(D59,bd,MATCH("PROCESO: ",bdfila,0),0)</f>
        <v>No Aplica</v>
      </c>
      <c r="D59" s="442">
        <f>D17</f>
        <v>69</v>
      </c>
      <c r="E59" s="604" t="str">
        <f>+VLOOKUP($D59,bd,MATCH(E$9,bdfila,0),0)</f>
        <v xml:space="preserve">Realizar con administradores y/o usuarios del Sistema Distrital para la Gestión de Peticiones Ciudadanas. capacitaciones en la funcionalidad, configuración, manejo y uso general del sistema </v>
      </c>
      <c r="F59" s="63" t="str">
        <f>D59&amp;"_V1"</f>
        <v>69_V1</v>
      </c>
      <c r="G59" s="64" t="str">
        <f>+VLOOKUP(D59,bd,MATCH(I59,BD_metas!$A$5:$DB$5,0),0)</f>
        <v>Capacitaciones en la configuración, uso y manejo del Sistema Distrital para la Gestión de Peticiones Ciudadanas.</v>
      </c>
      <c r="H59" s="65" t="s">
        <v>2030</v>
      </c>
      <c r="I59" s="65" t="s">
        <v>1029</v>
      </c>
      <c r="J59" s="103">
        <v>0</v>
      </c>
      <c r="K59" s="103">
        <v>1</v>
      </c>
      <c r="L59" s="103">
        <v>2</v>
      </c>
      <c r="M59" s="66">
        <v>4</v>
      </c>
      <c r="N59" s="191">
        <v>2</v>
      </c>
      <c r="O59" s="410">
        <v>2</v>
      </c>
    </row>
    <row r="60" spans="2:15" x14ac:dyDescent="0.3">
      <c r="B60" s="563"/>
      <c r="C60" s="612"/>
      <c r="D60" s="183">
        <f>+D59</f>
        <v>69</v>
      </c>
      <c r="E60" s="593"/>
      <c r="F60" s="69" t="str">
        <f>D60&amp;"_V2"</f>
        <v>69_V2</v>
      </c>
      <c r="G60" s="70">
        <f>+VLOOKUP(D60,bd,MATCH(I60,BD_metas!$A$5:$DB$5,0),0)</f>
        <v>0</v>
      </c>
      <c r="H60" s="56" t="s">
        <v>2030</v>
      </c>
      <c r="I60" s="56" t="s">
        <v>1030</v>
      </c>
      <c r="J60" s="104"/>
      <c r="K60" s="104"/>
      <c r="L60" s="104"/>
      <c r="M60" s="50"/>
      <c r="N60" s="192"/>
      <c r="O60" s="411"/>
    </row>
    <row r="61" spans="2:15" ht="81" customHeight="1" x14ac:dyDescent="0.3">
      <c r="B61" s="563"/>
      <c r="C61" s="612"/>
      <c r="D61" s="183">
        <f>+D60</f>
        <v>69</v>
      </c>
      <c r="E61" s="593"/>
      <c r="F61" s="69" t="str">
        <f>D60&amp;"_I1"</f>
        <v>69_I1</v>
      </c>
      <c r="G61" s="70" t="s">
        <v>1823</v>
      </c>
      <c r="H61" s="56" t="s">
        <v>2031</v>
      </c>
      <c r="I61" s="56" t="s">
        <v>2032</v>
      </c>
      <c r="J61" s="108" t="s">
        <v>2363</v>
      </c>
      <c r="K61" s="108" t="s">
        <v>2388</v>
      </c>
      <c r="L61" s="108" t="s">
        <v>2389</v>
      </c>
      <c r="M61" s="108" t="s">
        <v>2390</v>
      </c>
      <c r="N61" s="108" t="s">
        <v>2391</v>
      </c>
      <c r="O61" s="361" t="s">
        <v>2392</v>
      </c>
    </row>
    <row r="62" spans="2:15" ht="81" customHeight="1" x14ac:dyDescent="0.3">
      <c r="B62" s="563"/>
      <c r="C62" s="612"/>
      <c r="D62" s="183">
        <f>+D61</f>
        <v>69</v>
      </c>
      <c r="E62" s="593"/>
      <c r="F62" s="69" t="str">
        <f>D62&amp;"_I2"</f>
        <v>69_I2</v>
      </c>
      <c r="G62" s="70" t="s">
        <v>1824</v>
      </c>
      <c r="H62" s="56" t="s">
        <v>2031</v>
      </c>
      <c r="I62" s="56" t="s">
        <v>2038</v>
      </c>
      <c r="J62" s="108" t="s">
        <v>2363</v>
      </c>
      <c r="K62" s="108" t="s">
        <v>2363</v>
      </c>
      <c r="L62" s="108" t="s">
        <v>2363</v>
      </c>
      <c r="M62" s="108" t="s">
        <v>2363</v>
      </c>
      <c r="N62" s="108" t="s">
        <v>2363</v>
      </c>
      <c r="O62" s="71" t="s">
        <v>2363</v>
      </c>
    </row>
    <row r="63" spans="2:15" ht="81" customHeight="1" thickBot="1" x14ac:dyDescent="0.35">
      <c r="B63" s="609"/>
      <c r="C63" s="615"/>
      <c r="D63" s="183">
        <f>+D62</f>
        <v>69</v>
      </c>
      <c r="E63" s="610"/>
      <c r="F63" s="202" t="str">
        <f>D63&amp;"_I3"</f>
        <v>69_I3</v>
      </c>
      <c r="G63" s="203" t="s">
        <v>1825</v>
      </c>
      <c r="H63" s="204" t="s">
        <v>2031</v>
      </c>
      <c r="I63" s="204" t="s">
        <v>2042</v>
      </c>
      <c r="J63" s="289" t="s">
        <v>2363</v>
      </c>
      <c r="K63" s="290" t="s">
        <v>2393</v>
      </c>
      <c r="L63" s="290" t="s">
        <v>2394</v>
      </c>
      <c r="M63" s="290" t="s">
        <v>2395</v>
      </c>
      <c r="N63" s="290" t="s">
        <v>2396</v>
      </c>
      <c r="O63" s="290" t="s">
        <v>2397</v>
      </c>
    </row>
    <row r="64" spans="2:15" ht="42" thickBot="1" x14ac:dyDescent="0.35">
      <c r="B64" s="576" t="str">
        <f>+VLOOKUP(D64,bd,MATCH("Área o dependencia",bdfila,0),0)</f>
        <v>Dirección Distrital de Calidad del Servicio</v>
      </c>
      <c r="C64" s="611" t="str">
        <f>+VLOOKUP(D64,bd,MATCH("PROCESO: ",bdfila,0),0)</f>
        <v>Gestión del Sistema Distrital de servicio a la ciudadanía</v>
      </c>
      <c r="D64" s="442" t="str">
        <f>D18</f>
        <v>PAAC_43</v>
      </c>
      <c r="E64" s="604" t="str">
        <f>+VLOOKUP($D64,bd,MATCH(E$9,bdfila,0),0)</f>
        <v>Realizar el seguimiento a la calidad y calidez de las respuestas emitidas por parte de la Secretaría General y entidades distritales a través del sistema de gestión de peticiones ciudadanas</v>
      </c>
      <c r="F64" s="63" t="str">
        <f>D64&amp;"_V1"</f>
        <v>PAAC_43_V1</v>
      </c>
      <c r="G64" s="64" t="str">
        <f>+VLOOKUP(D64,bd,MATCH(I64,BD_metas!$A$5:$DB$5,0),0)</f>
        <v>Número de dependencias de la Secretaría General y entidades distritales retroalimentadas</v>
      </c>
      <c r="H64" s="65" t="s">
        <v>2030</v>
      </c>
      <c r="I64" s="65" t="s">
        <v>1029</v>
      </c>
      <c r="J64" s="310">
        <v>48</v>
      </c>
      <c r="K64" s="103">
        <v>31</v>
      </c>
      <c r="L64" s="103">
        <v>45</v>
      </c>
      <c r="M64" s="66">
        <v>47</v>
      </c>
      <c r="N64" s="191">
        <v>41</v>
      </c>
      <c r="O64" s="67">
        <v>41</v>
      </c>
    </row>
    <row r="65" spans="2:15" ht="55.8" thickBot="1" x14ac:dyDescent="0.35">
      <c r="B65" s="563"/>
      <c r="C65" s="612"/>
      <c r="D65" s="183" t="str">
        <f>+D64</f>
        <v>PAAC_43</v>
      </c>
      <c r="E65" s="593"/>
      <c r="F65" s="69" t="str">
        <f>D65&amp;"_V2"</f>
        <v>PAAC_43_V2</v>
      </c>
      <c r="G65" s="70" t="str">
        <f>+VLOOKUP(D65,bd,MATCH(I65,BD_metas!$A$5:$DB$5,0),0)</f>
        <v>Número de dependencias de la Secretaría General y entidades Distritales que presentan observaciones a sus respuestas evaluadas</v>
      </c>
      <c r="H65" s="56" t="s">
        <v>2030</v>
      </c>
      <c r="I65" s="56" t="s">
        <v>1030</v>
      </c>
      <c r="J65" s="310">
        <v>48</v>
      </c>
      <c r="K65" s="104">
        <v>31</v>
      </c>
      <c r="L65" s="104">
        <v>45</v>
      </c>
      <c r="M65" s="50">
        <v>47</v>
      </c>
      <c r="N65" s="192">
        <v>41</v>
      </c>
      <c r="O65" s="71">
        <v>41</v>
      </c>
    </row>
    <row r="66" spans="2:15" ht="409.6" x14ac:dyDescent="0.3">
      <c r="B66" s="563"/>
      <c r="C66" s="612"/>
      <c r="D66" s="183" t="str">
        <f>+D65</f>
        <v>PAAC_43</v>
      </c>
      <c r="E66" s="593"/>
      <c r="F66" s="69" t="str">
        <f>D65&amp;"_I1"</f>
        <v>PAAC_43_I1</v>
      </c>
      <c r="G66" s="70" t="s">
        <v>1823</v>
      </c>
      <c r="H66" s="56" t="s">
        <v>2031</v>
      </c>
      <c r="I66" s="56" t="s">
        <v>2032</v>
      </c>
      <c r="J66" s="364" t="s">
        <v>2398</v>
      </c>
      <c r="K66" s="250" t="s">
        <v>2399</v>
      </c>
      <c r="L66" s="250" t="s">
        <v>2400</v>
      </c>
      <c r="M66" s="250" t="s">
        <v>2401</v>
      </c>
      <c r="N66" s="250" t="s">
        <v>2402</v>
      </c>
      <c r="O66" s="409" t="s">
        <v>2403</v>
      </c>
    </row>
    <row r="67" spans="2:15" ht="41.4" x14ac:dyDescent="0.3">
      <c r="B67" s="563"/>
      <c r="C67" s="612"/>
      <c r="D67" s="183" t="str">
        <f>+D66</f>
        <v>PAAC_43</v>
      </c>
      <c r="E67" s="593"/>
      <c r="F67" s="69" t="str">
        <f>D67&amp;"_I2"</f>
        <v>PAAC_43_I2</v>
      </c>
      <c r="G67" s="70" t="s">
        <v>1824</v>
      </c>
      <c r="H67" s="56" t="s">
        <v>2031</v>
      </c>
      <c r="I67" s="56" t="s">
        <v>2038</v>
      </c>
      <c r="J67" s="108" t="s">
        <v>2363</v>
      </c>
      <c r="K67" s="108" t="s">
        <v>2363</v>
      </c>
      <c r="L67" s="108" t="s">
        <v>2363</v>
      </c>
      <c r="M67" s="108" t="s">
        <v>2363</v>
      </c>
      <c r="N67" s="108" t="s">
        <v>2363</v>
      </c>
      <c r="O67" s="71" t="s">
        <v>2363</v>
      </c>
    </row>
    <row r="68" spans="2:15" ht="409.6" thickBot="1" x14ac:dyDescent="0.35">
      <c r="B68" s="609"/>
      <c r="C68" s="615"/>
      <c r="D68" s="183" t="str">
        <f>+D67</f>
        <v>PAAC_43</v>
      </c>
      <c r="E68" s="610"/>
      <c r="F68" s="202" t="str">
        <f>D68&amp;"_I3"</f>
        <v>PAAC_43_I3</v>
      </c>
      <c r="G68" s="203" t="s">
        <v>1825</v>
      </c>
      <c r="H68" s="204" t="s">
        <v>2031</v>
      </c>
      <c r="I68" s="204" t="s">
        <v>2042</v>
      </c>
      <c r="J68" s="362" t="s">
        <v>2404</v>
      </c>
      <c r="K68" s="362" t="s">
        <v>2405</v>
      </c>
      <c r="L68" s="362" t="s">
        <v>2406</v>
      </c>
      <c r="M68" s="362" t="s">
        <v>2407</v>
      </c>
      <c r="N68" s="362" t="s">
        <v>2408</v>
      </c>
      <c r="O68" s="362" t="s">
        <v>2409</v>
      </c>
    </row>
    <row r="69" spans="2:15" ht="30" customHeight="1" x14ac:dyDescent="0.3">
      <c r="B69" s="576" t="str">
        <f>+VLOOKUP(D69,bd,MATCH("Área o dependencia",bdfila,0),0)</f>
        <v>Dirección Distrital de Calidad del Servicio</v>
      </c>
      <c r="C69" s="611" t="str">
        <f>+VLOOKUP(D69,bd,MATCH("PROCESO: ",bdfila,0),0)</f>
        <v>Gestión del Sistema Distrital de servicio a la ciudadanía</v>
      </c>
      <c r="D69" s="442" t="str">
        <f>D19</f>
        <v>PAAC_47</v>
      </c>
      <c r="E69" s="604" t="str">
        <f>+VLOOKUP($D69,bd,MATCH(E$9,bdfila,0),0)</f>
        <v>Realizar seguimiento a los requerimientos vencidos según los términos de ley en la Secretaría General y en las entidades distritales, registrados en el Sistema Distrital de Quejas y Soluciones.</v>
      </c>
      <c r="F69" s="63" t="str">
        <f>D69&amp;"_V1"</f>
        <v>PAAC_47_V1</v>
      </c>
      <c r="G69" s="64" t="str">
        <f>+VLOOKUP(D69,bd,MATCH(I69,BD_metas!$A$5:$DB$5,0),0)</f>
        <v>Comunicaciones de seguimientos enviados</v>
      </c>
      <c r="H69" s="65" t="s">
        <v>2030</v>
      </c>
      <c r="I69" s="65" t="s">
        <v>1029</v>
      </c>
      <c r="J69" s="103">
        <v>29</v>
      </c>
      <c r="K69" s="103">
        <v>40</v>
      </c>
      <c r="L69" s="103">
        <v>33</v>
      </c>
      <c r="M69" s="66">
        <v>24</v>
      </c>
      <c r="N69" s="191">
        <v>28</v>
      </c>
      <c r="O69" s="67">
        <v>34</v>
      </c>
    </row>
    <row r="70" spans="2:15" ht="82.5" customHeight="1" x14ac:dyDescent="0.3">
      <c r="B70" s="563"/>
      <c r="C70" s="612"/>
      <c r="D70" s="183" t="str">
        <f>+D69</f>
        <v>PAAC_47</v>
      </c>
      <c r="E70" s="593"/>
      <c r="F70" s="69" t="str">
        <f>D70&amp;"_V2"</f>
        <v>PAAC_47_V2</v>
      </c>
      <c r="G70" s="70" t="str">
        <f>+VLOOKUP(D70,bd,MATCH(I70,BD_metas!$A$5:$DB$5,0),0)</f>
        <v>Dependencias de la SG identificadas con peticiones vencidas en el mes anterior y entidades distritales identificadas con 3 o más peticiones vencidas en el mes anterior</v>
      </c>
      <c r="H70" s="56" t="s">
        <v>2030</v>
      </c>
      <c r="I70" s="56" t="s">
        <v>1030</v>
      </c>
      <c r="J70" s="104">
        <v>29</v>
      </c>
      <c r="K70" s="104">
        <v>40</v>
      </c>
      <c r="L70" s="104">
        <v>33</v>
      </c>
      <c r="M70" s="50">
        <v>24</v>
      </c>
      <c r="N70" s="192">
        <v>28</v>
      </c>
      <c r="O70" s="71">
        <v>34</v>
      </c>
    </row>
    <row r="71" spans="2:15" ht="409.6" x14ac:dyDescent="0.3">
      <c r="B71" s="563"/>
      <c r="C71" s="612"/>
      <c r="D71" s="183" t="str">
        <f>+D70</f>
        <v>PAAC_47</v>
      </c>
      <c r="E71" s="593"/>
      <c r="F71" s="69" t="str">
        <f>D70&amp;"_I1"</f>
        <v>PAAC_47_I1</v>
      </c>
      <c r="G71" s="70" t="s">
        <v>1823</v>
      </c>
      <c r="H71" s="56" t="s">
        <v>2031</v>
      </c>
      <c r="I71" s="56" t="s">
        <v>2032</v>
      </c>
      <c r="J71" s="250" t="s">
        <v>2410</v>
      </c>
      <c r="K71" s="250" t="s">
        <v>2411</v>
      </c>
      <c r="L71" s="250" t="s">
        <v>2412</v>
      </c>
      <c r="M71" s="250" t="s">
        <v>2413</v>
      </c>
      <c r="N71" s="250" t="s">
        <v>2414</v>
      </c>
      <c r="O71" s="409" t="s">
        <v>2415</v>
      </c>
    </row>
    <row r="72" spans="2:15" ht="41.4" x14ac:dyDescent="0.3">
      <c r="B72" s="563"/>
      <c r="C72" s="612"/>
      <c r="D72" s="183" t="str">
        <f>+D71</f>
        <v>PAAC_47</v>
      </c>
      <c r="E72" s="593"/>
      <c r="F72" s="69" t="str">
        <f>D72&amp;"_I2"</f>
        <v>PAAC_47_I2</v>
      </c>
      <c r="G72" s="70" t="s">
        <v>1824</v>
      </c>
      <c r="H72" s="56" t="s">
        <v>2031</v>
      </c>
      <c r="I72" s="56" t="s">
        <v>2038</v>
      </c>
      <c r="J72" s="108" t="s">
        <v>2363</v>
      </c>
      <c r="K72" s="108" t="s">
        <v>2363</v>
      </c>
      <c r="L72" s="108" t="s">
        <v>2363</v>
      </c>
      <c r="M72" s="108" t="s">
        <v>2363</v>
      </c>
      <c r="N72" s="108" t="s">
        <v>2363</v>
      </c>
      <c r="O72" s="71" t="s">
        <v>2363</v>
      </c>
    </row>
    <row r="73" spans="2:15" ht="231" thickBot="1" x14ac:dyDescent="0.35">
      <c r="B73" s="564"/>
      <c r="C73" s="613"/>
      <c r="D73" s="184" t="str">
        <f>+D72</f>
        <v>PAAC_47</v>
      </c>
      <c r="E73" s="594"/>
      <c r="F73" s="73" t="str">
        <f>D73&amp;"_I3"</f>
        <v>PAAC_47_I3</v>
      </c>
      <c r="G73" s="74" t="s">
        <v>1825</v>
      </c>
      <c r="H73" s="57" t="s">
        <v>2031</v>
      </c>
      <c r="I73" s="57" t="s">
        <v>2042</v>
      </c>
      <c r="J73" s="365" t="s">
        <v>2416</v>
      </c>
      <c r="K73" s="365" t="s">
        <v>2416</v>
      </c>
      <c r="L73" s="365" t="s">
        <v>2416</v>
      </c>
      <c r="M73" s="365" t="s">
        <v>2416</v>
      </c>
      <c r="N73" s="365" t="s">
        <v>2416</v>
      </c>
      <c r="O73" s="365" t="s">
        <v>2417</v>
      </c>
    </row>
  </sheetData>
  <sheetProtection algorithmName="SHA-512" hashValue="yTn5TOGLsqhKiIJYU1gmE2s78q8T+gunKQ7+I1C10dboVvuZR2UdO61vDOcY+OCno74qsgzn2vnCMsHxe3d6kw==" saltValue="a1E3TTxR18+0favAC6dqVQ==" spinCount="100000" sheet="1" formatColumns="0" formatRows="0"/>
  <protectedRanges>
    <protectedRange algorithmName="SHA-512" hashValue="WIoIXFruEzhC2BFHCcTDVWt24OE5o9JinYLkEckXW1LdkzgB8Lu5hXvv/2CMcPBhjzIW7PBxJb5MBrNHcuxBcg==" saltValue="l9KbE6lJ94xGm5cHAm747A==" spinCount="100000" sqref="O24:O73" name="ciudadano r2"/>
    <protectedRange algorithmName="SHA-512" hashValue="hXideaciP4n1I4U8zXcL37LNu3J7h+TrzmmIZfSj1xAWXa/VmL4k5ekp04gjUeuLtmtwDoeQ928laV7oRoTeQg==" saltValue="zRK7zZPRuNqmMcpid+vuGg==" spinCount="100000" sqref="Q10:Q19 S10:V19 J24:N73 J10:O19" name="ciudadano r1"/>
  </protectedRanges>
  <mergeCells count="53">
    <mergeCell ref="B7:D7"/>
    <mergeCell ref="B10:B11"/>
    <mergeCell ref="B1:G1"/>
    <mergeCell ref="B2:G2"/>
    <mergeCell ref="J22:O22"/>
    <mergeCell ref="B8:D8"/>
    <mergeCell ref="J8:O8"/>
    <mergeCell ref="B12:B13"/>
    <mergeCell ref="B14:B19"/>
    <mergeCell ref="F18:G18"/>
    <mergeCell ref="F19:G19"/>
    <mergeCell ref="S8:V8"/>
    <mergeCell ref="F9:G9"/>
    <mergeCell ref="F10:G10"/>
    <mergeCell ref="F17:G17"/>
    <mergeCell ref="F13:G13"/>
    <mergeCell ref="F12:G12"/>
    <mergeCell ref="F11:G11"/>
    <mergeCell ref="F14:G14"/>
    <mergeCell ref="F15:G15"/>
    <mergeCell ref="F16:G16"/>
    <mergeCell ref="B39:B43"/>
    <mergeCell ref="E39:E43"/>
    <mergeCell ref="B59:B63"/>
    <mergeCell ref="E59:E63"/>
    <mergeCell ref="B29:B33"/>
    <mergeCell ref="E29:E33"/>
    <mergeCell ref="C29:C33"/>
    <mergeCell ref="C34:C38"/>
    <mergeCell ref="C39:C43"/>
    <mergeCell ref="C59:C63"/>
    <mergeCell ref="B34:B38"/>
    <mergeCell ref="E34:E38"/>
    <mergeCell ref="B44:B48"/>
    <mergeCell ref="C44:C48"/>
    <mergeCell ref="E44:E48"/>
    <mergeCell ref="B49:B53"/>
    <mergeCell ref="B24:B28"/>
    <mergeCell ref="E24:E28"/>
    <mergeCell ref="C24:C28"/>
    <mergeCell ref="B21:D21"/>
    <mergeCell ref="B22:D22"/>
    <mergeCell ref="C49:C53"/>
    <mergeCell ref="E49:E53"/>
    <mergeCell ref="B54:B58"/>
    <mergeCell ref="C54:C58"/>
    <mergeCell ref="E54:E58"/>
    <mergeCell ref="B64:B68"/>
    <mergeCell ref="C64:C68"/>
    <mergeCell ref="E64:E68"/>
    <mergeCell ref="B69:B73"/>
    <mergeCell ref="C69:C73"/>
    <mergeCell ref="E69:E73"/>
  </mergeCells>
  <dataValidations count="26">
    <dataValidation allowBlank="1" showInputMessage="1" showErrorMessage="1" prompt="Redacte el avance en la gestión del indicador para cada uno de los meses correspondientes a la fecha de corte del reporte" sqref="J26:O26 J31:O31 J36:O36 J41:O41 J61:O61 J46:O46 J51:O51 J56:O56 J66:O66 J71:O71" xr:uid="{00000000-0002-0000-0D00-000000000000}"/>
    <dataValidation allowBlank="1" showInputMessage="1" showErrorMessage="1" prompt="Diligencie la magnitud de la variable 2 del indicador para cada uno de los meses correspondientes a la fecha de corte del reporte. Este campo aplica unicamente para los indicadores que tienen variable 2." sqref="J25:O25 J30:O30 J35:O35 J40:O40 J60:O60 J45:O45 J50:O50 J55:O55 J65:O65 J70:O70" xr:uid="{00000000-0002-0000-0D00-000001000000}"/>
    <dataValidation allowBlank="1" showInputMessage="1" showErrorMessage="1" prompt="Diligencie la magnitud de la variable 1 del indicador para cada uno de los meses correspondientes a la fecha de corte del reporte" sqref="J24:O24 J29:O29 J34:O34 J39:O39 J59:O59 J44:O44 J49:O49 J54:O54 J64:O64 J69:O69" xr:uid="{00000000-0002-0000-0D00-000002000000}"/>
    <dataValidation allowBlank="1" showInputMessage="1" showErrorMessage="1" prompt="Corresponde a la clasificación de la variable que se reporta." sqref="I24:I73" xr:uid="{00000000-0002-0000-0D00-000003000000}"/>
    <dataValidation allowBlank="1" showInputMessage="1" showErrorMessage="1" prompt="Corresponde al código de la variable que se reporta. Se compone del ID del Indicador y el denotativo de la Variable (V1, V2, I1, I2, I3)" sqref="F24:F73" xr:uid="{00000000-0002-0000-0D00-000004000000}"/>
    <dataValidation allowBlank="1" showInputMessage="1" showErrorMessage="1" prompt="Corresponde al funcionario encargado de realizar el seguimiento del Proyecto de Inversión" sqref="D5:G5" xr:uid="{00000000-0002-0000-0D00-000005000000}"/>
    <dataValidation allowBlank="1" showInputMessage="1" showErrorMessage="1" prompt="Corresponde al nombre del funcionario que ejerce la Gerencia del Proyecto de Inversión" sqref="D4:G4" xr:uid="{00000000-0002-0000-0D00-000006000000}"/>
    <dataValidation allowBlank="1" showInputMessage="1" showErrorMessage="1" prompt="Corresponde al nombre del Proyecto de Inversión" sqref="D3:G3" xr:uid="{00000000-0002-0000-0D00-000007000000}"/>
    <dataValidation allowBlank="1" showInputMessage="1" showErrorMessage="1" prompt="Diligencie la información más actualizada del indicador. En el caso que el proyecto lo requiera: se debe completar, ampliar o modificar la Descripción, las Actividades, los Beneficios y las Fuentes de Verificación que actualmente sea asocian al indicador." sqref="S10:V19" xr:uid="{00000000-0002-0000-0D00-000008000000}"/>
    <dataValidation allowBlank="1" showInputMessage="1" showErrorMessage="1" prompt="Sólo aplica para los indicadores que cumplan estas dos condiciones: 1) Tendencia Anual = Constante o Creciente. 2) Tendencia Mensual = Suma._x000a_Corresponde a la sumatoria de las magnitudes mensuales programadas para la vigencia." sqref="R10:R19" xr:uid="{00000000-0002-0000-0D00-000009000000}"/>
    <dataValidation allowBlank="1" showInputMessage="1" showErrorMessage="1" prompt="Corresponde a la Meta Programada para el 2020" sqref="P10:P19" xr:uid="{00000000-0002-0000-0D00-00000A000000}"/>
    <dataValidation allowBlank="1" showInputMessage="1" showErrorMessage="1" prompt="Programe la magnitud de la Meta para cada uno de los meses, tenga en cuenta la Meta total programada para la vigencia, asi como la tendencia y la unidad de medida" sqref="J10:O19" xr:uid="{00000000-0002-0000-0D00-00000B000000}"/>
    <dataValidation allowBlank="1" showInputMessage="1" showErrorMessage="1" prompt="Corresponde a la unidad de medida del indicador" sqref="I10:I19" xr:uid="{00000000-0002-0000-0D00-00000C000000}"/>
    <dataValidation allowBlank="1" showInputMessage="1" showErrorMessage="1" prompt="Corresponde a la tendencia anual del indicador" sqref="H10:H19" xr:uid="{00000000-0002-0000-0D00-00000D000000}"/>
    <dataValidation allowBlank="1" showInputMessage="1" showErrorMessage="1" prompt="Corresponde a los nombres de los indicadores del Proyecto de Inversión" sqref="F10:G19" xr:uid="{00000000-0002-0000-0D00-00000E000000}"/>
    <dataValidation allowBlank="1" showInputMessage="1" showErrorMessage="1" prompt="Corresponde a las metas del Proyecto de Inversión" sqref="E10:E19" xr:uid="{00000000-0002-0000-0D00-00000F000000}"/>
    <dataValidation type="list" allowBlank="1" showInputMessage="1" showErrorMessage="1" prompt="Corresponde a los ID de los indicadores del Proyecto de Inversión" sqref="D10:D11" xr:uid="{00000000-0002-0000-0D00-000010000000}">
      <formula1>INDIRECT($A$10)</formula1>
    </dataValidation>
    <dataValidation type="list" allowBlank="1" showInputMessage="1" showErrorMessage="1" prompt="Seleccione de la lista desplegable la Tendencia Mensual de la Meta. Para esto tenga en cuenta la evolución MENSUAL de la meta programada. Las opciones disponibles son: Constante, Creciente, Suma, Decreciente." sqref="Q10:Q19" xr:uid="{00000000-0002-0000-0D00-000011000000}">
      <formula1>"Constante,Creciente,Decreciente,Suma"</formula1>
    </dataValidation>
    <dataValidation allowBlank="1" showInputMessage="1" showErrorMessage="1" prompt="Redacte los beneficios, logros y resultados del indicador para cada uno de los meses correspondientes a la fecha de corte del reporte" sqref="J28:O28 J33:O33 J38:O38 J63:O63 J43:O43 J48:O48 J53:O53 J58:O58 J68:O68 J73:O73" xr:uid="{00000000-0002-0000-0D00-000012000000}"/>
    <dataValidation allowBlank="1" showInputMessage="1" showErrorMessage="1" prompt="Redacte las dificultades o retrasos, y soluciones propuestas del indicador para cada uno de los meses correspondientes a la fecha de corte del reporte" sqref="J27:O27 J32:O32 J37:O37 J42:O42 J62:O62 J47:O47 J52:O52 J57:O57 J67:O67 J72:O72" xr:uid="{00000000-0002-0000-0D00-000013000000}"/>
    <dataValidation type="list" allowBlank="1" showInputMessage="1" showErrorMessage="1" prompt="Corresponde a la(s) dependencia(s) asociada(s) al Proyecto de Inversión" sqref="B10:B12 B14" xr:uid="{00000000-0002-0000-0D00-000014000000}">
      <formula1>dependencia</formula1>
    </dataValidation>
    <dataValidation type="list" allowBlank="1" showInputMessage="1" showErrorMessage="1" prompt="Corresponde a los ID de los indicadores del Proyecto de Inversión" sqref="D12" xr:uid="{00000000-0002-0000-0D00-000015000000}">
      <formula1>INDIRECT($A$12)</formula1>
    </dataValidation>
    <dataValidation type="list" allowBlank="1" showInputMessage="1" showErrorMessage="1" prompt="Corresponde a los ID de los indicadores del Proyecto de Inversión" sqref="D13" xr:uid="{00000000-0002-0000-0D00-000016000000}">
      <formula1>INDIRECT($A$13)</formula1>
    </dataValidation>
    <dataValidation type="list" allowBlank="1" showInputMessage="1" showErrorMessage="1" sqref="B24:B73" xr:uid="{00000000-0002-0000-0D00-000017000000}">
      <formula1>dependencia</formula1>
    </dataValidation>
    <dataValidation type="list" allowBlank="1" showInputMessage="1" showErrorMessage="1" prompt="Corresponde a los ID de los indicadores del Proyecto de Inversión" sqref="D17" xr:uid="{00000000-0002-0000-0D00-000018000000}">
      <formula1>INDIRECT($A$17)</formula1>
    </dataValidation>
    <dataValidation type="list" allowBlank="1" showInputMessage="1" showErrorMessage="1" prompt="Corresponde a los ID de los indicadores del Proyecto de Inversión" sqref="D14:D16 D18:D19" xr:uid="{00000000-0002-0000-0D00-000019000000}">
      <formula1>INDIRECT($A$14)</formula1>
    </dataValidation>
  </dataValidations>
  <hyperlinks>
    <hyperlink ref="J36" r:id="rId1" display="https://aware.tips/bebidascolombia/" xr:uid="{00000000-0004-0000-0D00-000000000000}"/>
  </hyperlinks>
  <pageMargins left="0.7" right="0.7" top="0.75" bottom="0.75" header="0.3" footer="0.3"/>
  <pageSetup paperSize="9" orientation="portrait" horizontalDpi="0" verticalDpi="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dimension ref="A1:V97"/>
  <sheetViews>
    <sheetView showGridLines="0" topLeftCell="E1" zoomScale="85" zoomScaleNormal="85" workbookViewId="0">
      <selection activeCell="O35" sqref="O35"/>
    </sheetView>
  </sheetViews>
  <sheetFormatPr baseColWidth="10" defaultColWidth="11.5546875" defaultRowHeight="14.4" x14ac:dyDescent="0.3"/>
  <cols>
    <col min="1" max="1" width="4.6640625" style="15" customWidth="1"/>
    <col min="2" max="3" width="29.109375" style="15" customWidth="1"/>
    <col min="4" max="4" width="11.5546875" style="15"/>
    <col min="5" max="5" width="47" style="15" customWidth="1"/>
    <col min="6" max="6" width="17.33203125" style="15" customWidth="1"/>
    <col min="7" max="7" width="30.33203125" style="15" customWidth="1"/>
    <col min="8" max="8" width="15.5546875" style="15" customWidth="1"/>
    <col min="9" max="9" width="24.44140625" style="15" customWidth="1"/>
    <col min="10" max="11" width="16.44140625" style="15" customWidth="1"/>
    <col min="12" max="12" width="18" style="15" customWidth="1"/>
    <col min="13" max="14" width="16.44140625" style="15" customWidth="1"/>
    <col min="15" max="15" width="57.5546875" style="15" customWidth="1"/>
    <col min="16" max="16" width="16.44140625" style="15" customWidth="1"/>
    <col min="17" max="17" width="20.44140625" style="15" customWidth="1"/>
    <col min="18" max="18" width="21.109375" style="15" customWidth="1"/>
    <col min="19" max="19" width="37.33203125" style="15" customWidth="1"/>
    <col min="20" max="20" width="54.33203125" style="15" customWidth="1"/>
    <col min="21" max="21" width="43.109375" style="15" customWidth="1"/>
    <col min="22" max="22" width="50.33203125" style="15" customWidth="1"/>
    <col min="23" max="16384" width="11.5546875" style="15"/>
  </cols>
  <sheetData>
    <row r="1" spans="1:22" ht="23.4" x14ac:dyDescent="0.45">
      <c r="B1" s="579" t="s">
        <v>2004</v>
      </c>
      <c r="C1" s="603"/>
      <c r="D1" s="580"/>
      <c r="E1" s="580"/>
      <c r="F1" s="580"/>
      <c r="G1" s="581"/>
    </row>
    <row r="2" spans="1:22" ht="18.75" customHeight="1" x14ac:dyDescent="0.3">
      <c r="B2" s="582" t="s">
        <v>13</v>
      </c>
      <c r="C2" s="583"/>
      <c r="D2" s="583"/>
      <c r="E2" s="583"/>
      <c r="F2" s="583"/>
      <c r="G2" s="584"/>
    </row>
    <row r="6" spans="1:22" ht="15" thickBot="1" x14ac:dyDescent="0.35"/>
    <row r="7" spans="1:22" ht="18.600000000000001" thickBot="1" x14ac:dyDescent="0.4">
      <c r="B7" s="577" t="s">
        <v>2006</v>
      </c>
      <c r="C7" s="602"/>
      <c r="D7" s="578"/>
    </row>
    <row r="8" spans="1:22" ht="15" thickBot="1" x14ac:dyDescent="0.35">
      <c r="B8" s="606" t="s">
        <v>2007</v>
      </c>
      <c r="C8" s="607"/>
      <c r="D8" s="608"/>
      <c r="J8" s="597" t="s">
        <v>2008</v>
      </c>
      <c r="K8" s="598"/>
      <c r="L8" s="598"/>
      <c r="M8" s="598"/>
      <c r="N8" s="598"/>
      <c r="O8" s="599"/>
      <c r="S8" s="597" t="s">
        <v>2009</v>
      </c>
      <c r="T8" s="598"/>
      <c r="U8" s="598"/>
      <c r="V8" s="599"/>
    </row>
    <row r="9" spans="1:22" ht="31.95" customHeight="1" thickBot="1" x14ac:dyDescent="0.35">
      <c r="B9" s="168" t="s">
        <v>1868</v>
      </c>
      <c r="C9" s="180" t="s">
        <v>2073</v>
      </c>
      <c r="D9" s="169" t="s">
        <v>2010</v>
      </c>
      <c r="E9" s="436" t="s">
        <v>1792</v>
      </c>
      <c r="F9" s="572" t="s">
        <v>541</v>
      </c>
      <c r="G9" s="572"/>
      <c r="H9" s="436" t="s">
        <v>544</v>
      </c>
      <c r="I9" s="436" t="s">
        <v>413</v>
      </c>
      <c r="J9" s="436" t="s">
        <v>419</v>
      </c>
      <c r="K9" s="436" t="s">
        <v>420</v>
      </c>
      <c r="L9" s="436" t="s">
        <v>421</v>
      </c>
      <c r="M9" s="436" t="s">
        <v>422</v>
      </c>
      <c r="N9" s="436" t="s">
        <v>423</v>
      </c>
      <c r="O9" s="436" t="s">
        <v>424</v>
      </c>
      <c r="P9" s="436" t="s">
        <v>425</v>
      </c>
      <c r="Q9" s="436" t="s">
        <v>416</v>
      </c>
      <c r="R9" s="436" t="s">
        <v>417</v>
      </c>
      <c r="S9" s="436" t="s">
        <v>426</v>
      </c>
      <c r="T9" s="436" t="s">
        <v>427</v>
      </c>
      <c r="U9" s="436" t="s">
        <v>428</v>
      </c>
      <c r="V9" s="187" t="s">
        <v>429</v>
      </c>
    </row>
    <row r="10" spans="1:22" ht="43.95" customHeight="1" thickBot="1" x14ac:dyDescent="0.35">
      <c r="A10" s="92" t="str">
        <f t="shared" ref="A10:A23" si="0">+VLOOKUP(B10,responsables,8,0)</f>
        <v>sco</v>
      </c>
      <c r="B10" s="243" t="s">
        <v>122</v>
      </c>
      <c r="C10" s="196" t="str">
        <f t="shared" ref="C10:C23" si="1">+VLOOKUP(D10,bd,MATCH("PROCESO: ",bdfila,0),0)</f>
        <v>Contratación</v>
      </c>
      <c r="D10" s="441">
        <v>90</v>
      </c>
      <c r="E10" s="441" t="str">
        <f t="shared" ref="E10:I23" si="2">+VLOOKUP($D10,bd,MATCH(E$9,bdfila,0),0)</f>
        <v>Monitorear y generar alertas tempranas frente al 100% de la ejecución Plan Anual de Adquisiciones - PAA y del presupuesto asignado para la vigencia</v>
      </c>
      <c r="F10" s="631" t="str">
        <f>+VLOOKUP($D10,bd,MATCH(F$9,bdfila,0),0)</f>
        <v>Plan Anual de Adquisiciones - PAA y presupuesto asignado para la vigencia, monitoreado</v>
      </c>
      <c r="G10" s="631"/>
      <c r="H10" s="441" t="str">
        <f t="shared" si="2"/>
        <v>Constante</v>
      </c>
      <c r="I10" s="441" t="str">
        <f t="shared" si="2"/>
        <v>Porcentaje</v>
      </c>
      <c r="J10" s="197">
        <v>100</v>
      </c>
      <c r="K10" s="197">
        <v>100</v>
      </c>
      <c r="L10" s="197">
        <v>100</v>
      </c>
      <c r="M10" s="197">
        <v>100</v>
      </c>
      <c r="N10" s="197">
        <v>100</v>
      </c>
      <c r="O10" s="197">
        <v>100</v>
      </c>
      <c r="P10" s="198">
        <f t="shared" ref="P10:P23" si="3">+VLOOKUP($D10,bd,MATCH(P$9,bdfila,0),0)</f>
        <v>100</v>
      </c>
      <c r="Q10" s="197" t="s">
        <v>601</v>
      </c>
      <c r="R10" s="199" t="str">
        <f>+IF(Q10="Suma",SUM(J10:O10),"")</f>
        <v/>
      </c>
      <c r="S10" s="200" t="str">
        <f>+VLOOKUP($D10,bd,MATCH(S$9,BD_metas!$A$5:$DB$5,0),0)</f>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
      <c r="T10" s="200" t="str">
        <f>+VLOOKUP($D10,bd,MATCH(T$9,BD_metas!$A$5:$DB$5,0),0)</f>
        <v>• Revisar, analizar y presentar la ejecución presupuestal de la Secretaría General.</v>
      </c>
      <c r="U10" s="200" t="str">
        <f>+VLOOKUP($D10,bd,MATCH(U$9,BD_metas!$A$5:$DB$5,0),0)</f>
        <v>Facilita la toma de decisiones oportunas con base en el estado de la ejecución del Plan Anual de Adquisiciones, con el fin de optimizar la ejecución presupuestal de la vigencia.</v>
      </c>
      <c r="V10" s="201" t="str">
        <f>+VLOOKUP($D10,bd,MATCH(V$9,BD_metas!$A$5:$DB$5,0),0)</f>
        <v>Presentacion Ejecución Presupuestal
Matriz Seguimiento PAA</v>
      </c>
    </row>
    <row r="11" spans="1:22" ht="43.95" customHeight="1" x14ac:dyDescent="0.3">
      <c r="A11" s="92" t="str">
        <f t="shared" si="0"/>
        <v>dth</v>
      </c>
      <c r="B11" s="562" t="s">
        <v>195</v>
      </c>
      <c r="C11" s="195" t="str">
        <f t="shared" si="1"/>
        <v>Gestión de seguridad y Salud en el trabajo</v>
      </c>
      <c r="D11" s="434">
        <v>101</v>
      </c>
      <c r="E11" s="434" t="str">
        <f t="shared" si="2"/>
        <v xml:space="preserve">Ejecutar el Plan de Trabajo del Sistema de Seguridad y Salud en el Trabajo </v>
      </c>
      <c r="F11" s="565" t="str">
        <f>+VLOOKUP($D11,bd,MATCH(F$9,bdfila,0),0)</f>
        <v>Plan de Trabajo del Sistema de Seguridad y Salud en el Trabajo ejecutado</v>
      </c>
      <c r="G11" s="565"/>
      <c r="H11" s="434" t="str">
        <f t="shared" si="2"/>
        <v>Constante</v>
      </c>
      <c r="I11" s="434" t="str">
        <f t="shared" si="2"/>
        <v>Porcentaje</v>
      </c>
      <c r="J11" s="258">
        <v>0</v>
      </c>
      <c r="K11" s="258">
        <v>1</v>
      </c>
      <c r="L11" s="258">
        <v>1</v>
      </c>
      <c r="M11" s="258">
        <v>1</v>
      </c>
      <c r="N11" s="259">
        <v>1</v>
      </c>
      <c r="O11" s="259">
        <v>0</v>
      </c>
      <c r="P11" s="170">
        <f t="shared" si="3"/>
        <v>100</v>
      </c>
      <c r="Q11" s="126" t="s">
        <v>638</v>
      </c>
      <c r="R11" s="171">
        <f>+IF(Q11="Suma",SUM(J11:O11),"")</f>
        <v>4</v>
      </c>
      <c r="S11" s="172" t="str">
        <f>+VLOOKUP($D11,bd,MATCH(S$9,BD_metas!$A$5:$DB$5,0),0)</f>
        <v>Porcentaje de cumplimiento del Plan de Trabajo Anual del Sistema de Gestión de Seguridad y Salud en el Trabajo de la Secretaría General de la Alcaldía Mayor de Bogotá, D.C.</v>
      </c>
      <c r="T11" s="172" t="str">
        <f>+VLOOKUP($D11,bd,MATCH(T$9,BD_metas!$A$5:$DB$5,0),0)</f>
        <v>• jornadas de promoción, prevención e intervención de riesgos en materia de seguridad y salud en el trabajo</v>
      </c>
      <c r="U11" s="172" t="str">
        <f>+VLOOKUP($D11,bd,MATCH(U$9,BD_metas!$A$5:$DB$5,0),0)</f>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
      <c r="V11" s="174" t="str">
        <f>+VLOOKUP($D11,bd,MATCH(V$9,BD_metas!$A$5:$DB$5,0),0)</f>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
    </row>
    <row r="12" spans="1:22" ht="43.95" customHeight="1" thickBot="1" x14ac:dyDescent="0.35">
      <c r="A12" s="92" t="e">
        <f t="shared" si="0"/>
        <v>#N/A</v>
      </c>
      <c r="B12" s="609"/>
      <c r="C12" s="314" t="str">
        <f t="shared" si="1"/>
        <v>Gestión Estratégica del Talento Humano</v>
      </c>
      <c r="D12" s="439" t="s">
        <v>382</v>
      </c>
      <c r="E12" s="439" t="str">
        <f t="shared" si="2"/>
        <v>Ejecutar el Plan Estratégico de la Dirección de Talento Humano</v>
      </c>
      <c r="F12" s="619" t="str">
        <f>+VLOOKUP($D12,bd,MATCH(F$9,bdfila,0),0)</f>
        <v>Plan Estratégico de la Dirección de Talento Humano ejecutado</v>
      </c>
      <c r="G12" s="619"/>
      <c r="H12" s="439" t="str">
        <f t="shared" si="2"/>
        <v>Constante</v>
      </c>
      <c r="I12" s="439" t="str">
        <f t="shared" si="2"/>
        <v>Porcentaje</v>
      </c>
      <c r="J12" s="205">
        <v>0</v>
      </c>
      <c r="K12" s="205">
        <v>3</v>
      </c>
      <c r="L12" s="205">
        <v>2</v>
      </c>
      <c r="M12" s="205">
        <v>4</v>
      </c>
      <c r="N12" s="206">
        <v>7</v>
      </c>
      <c r="O12" s="206">
        <v>8</v>
      </c>
      <c r="P12" s="239">
        <f t="shared" si="3"/>
        <v>100</v>
      </c>
      <c r="Q12" s="205" t="s">
        <v>638</v>
      </c>
      <c r="R12" s="240">
        <f>+IF(Q12="Suma",SUM(J12:O12),"")</f>
        <v>24</v>
      </c>
      <c r="S12" s="241" t="s">
        <v>2418</v>
      </c>
      <c r="T12" s="241" t="s">
        <v>2419</v>
      </c>
      <c r="U12" s="241" t="str">
        <f>+VLOOKUP($D12,bd,MATCH(U$9,BD_metas!$A$5:$DB$5,0),0)</f>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
      <c r="V12" s="242" t="str">
        <f>+VLOOKUP($D12,bd,MATCH(V$9,BD_metas!$A$5:$DB$5,0),0)</f>
        <v>Listados de Asistencia
Registro fotografico
Informes trimestrales y el reporte de la información de los asistentes a las diferentes actividades.</v>
      </c>
    </row>
    <row r="13" spans="1:22" ht="43.95" customHeight="1" x14ac:dyDescent="0.3">
      <c r="A13" s="92" t="str">
        <f t="shared" si="0"/>
        <v>daf</v>
      </c>
      <c r="B13" s="576" t="s">
        <v>134</v>
      </c>
      <c r="C13" s="189" t="str">
        <f t="shared" si="1"/>
        <v>Gestión de Servicios Administrativos</v>
      </c>
      <c r="D13" s="435">
        <v>120</v>
      </c>
      <c r="E13" s="435" t="str">
        <f t="shared" si="2"/>
        <v>Implementar el Plan de Seguridad Vial</v>
      </c>
      <c r="F13" s="573" t="str">
        <f t="shared" si="2"/>
        <v>Plan de Seguridad Vial implementado</v>
      </c>
      <c r="G13" s="573"/>
      <c r="H13" s="435" t="str">
        <f t="shared" si="2"/>
        <v>Creciente</v>
      </c>
      <c r="I13" s="435" t="str">
        <f t="shared" si="2"/>
        <v>Porcentaje</v>
      </c>
      <c r="J13" s="66">
        <v>7</v>
      </c>
      <c r="K13" s="66">
        <v>6</v>
      </c>
      <c r="L13" s="66">
        <v>13</v>
      </c>
      <c r="M13" s="66">
        <v>7</v>
      </c>
      <c r="N13" s="66">
        <v>0</v>
      </c>
      <c r="O13" s="66">
        <v>16</v>
      </c>
      <c r="P13" s="121">
        <f t="shared" si="3"/>
        <v>100</v>
      </c>
      <c r="Q13" s="66" t="s">
        <v>638</v>
      </c>
      <c r="R13" s="173">
        <f t="shared" ref="R13:R23" si="4">+IF(Q13="Suma",SUM(J13:O13),"")</f>
        <v>49</v>
      </c>
      <c r="S13" s="122" t="str">
        <f>+VLOOKUP($D13,bd,MATCH(S$9,BD_metas!$A$5:$DB$5,0),0)</f>
        <v>Este indicador mide la ejecución de los programas para el cumplimiento del plan de acción aprobado por el Comité de Seguridad Vial de la Secretaría General en concordancia a lo establecido por la Secretaría de Movilidad.</v>
      </c>
      <c r="T13" s="122" t="str">
        <f>+VLOOKUP($D13,bd,MATCH(T$9,BD_metas!$A$5:$DB$5,0),0)</f>
        <v>Planear, ejecutar y hacer seguimiento al Plan de acción establecido para la Secretaría General.</v>
      </c>
      <c r="U13" s="122" t="str">
        <f>+VLOOKUP($D13,bd,MATCH(U$9,BD_metas!$A$5:$DB$5,0),0)</f>
        <v>Reducción de accidentalidad en todos los actores de la via, creación de cultura vial y concientización a los usuarios.</v>
      </c>
      <c r="V13" s="123" t="str">
        <f>+VLOOKUP($D13,bd,MATCH(V$9,BD_metas!$A$5:$DB$5,0),0)</f>
        <v xml:space="preserve">Cronograma de plan de acción de la Vigencia, registros fílmicos,  fotográficos y evidencias de reunión y actividades realizadas. </v>
      </c>
    </row>
    <row r="14" spans="1:22" ht="43.95" customHeight="1" thickBot="1" x14ac:dyDescent="0.35">
      <c r="A14" s="92" t="e">
        <f t="shared" si="0"/>
        <v>#N/A</v>
      </c>
      <c r="B14" s="564"/>
      <c r="C14" s="80" t="str">
        <f t="shared" si="1"/>
        <v>Gestión de Servicios Administrativos</v>
      </c>
      <c r="D14" s="433" t="s">
        <v>384</v>
      </c>
      <c r="E14" s="433" t="str">
        <f t="shared" si="2"/>
        <v>Implementar el Plan Integral de Gestión Ambiental - PIGA</v>
      </c>
      <c r="F14" s="567" t="str">
        <f t="shared" si="2"/>
        <v>Plan Institucional de Gestión Ambiental - PIGA implementado</v>
      </c>
      <c r="G14" s="567"/>
      <c r="H14" s="433" t="str">
        <f t="shared" si="2"/>
        <v>Creciente</v>
      </c>
      <c r="I14" s="433" t="str">
        <f t="shared" si="2"/>
        <v>Porcentaje</v>
      </c>
      <c r="J14" s="53">
        <v>5.62</v>
      </c>
      <c r="K14" s="53">
        <v>8.64</v>
      </c>
      <c r="L14" s="53">
        <v>6.49</v>
      </c>
      <c r="M14" s="53">
        <v>8.2200000000000006</v>
      </c>
      <c r="N14" s="53">
        <v>7.34</v>
      </c>
      <c r="O14" s="53">
        <v>9.9700000000000006</v>
      </c>
      <c r="P14" s="54">
        <f t="shared" si="3"/>
        <v>100</v>
      </c>
      <c r="Q14" s="53" t="s">
        <v>638</v>
      </c>
      <c r="R14" s="55">
        <f t="shared" si="4"/>
        <v>46.28</v>
      </c>
      <c r="S14" s="95" t="str">
        <f>+VLOOKUP($D14,bd,MATCH(S$9,BD_metas!$A$5:$DB$5,0),0)</f>
        <v>Este indicador mide la ejecución de los programas para el cumplimiento del plan de acción aprobado por el Comité de Gestión Ambiental de la Secretaría General en concordancia a lo establecido por la Secretaría de Ambiente.</v>
      </c>
      <c r="T14" s="95" t="str">
        <f>+VLOOKUP($D14,bd,MATCH(T$9,BD_metas!$A$5:$DB$5,0),0)</f>
        <v>• Planear, ejecutar y hacer seguimiento al Plan de acción establecido para la Secretaría General</v>
      </c>
      <c r="U14" s="95" t="str">
        <f>+VLOOKUP($D14,bd,MATCH(U$9,BD_metas!$A$5:$DB$5,0),0)</f>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
      <c r="V14" s="96" t="str">
        <f>+VLOOKUP($D14,bd,MATCH(V$9,BD_metas!$A$5:$DB$5,0),0)</f>
        <v xml:space="preserve">Cronograma de plan de acción del PIGA de la Vigencia, registros fílmicos,  fotográficos y evidencias de reunión y actividades realizadas. </v>
      </c>
    </row>
    <row r="15" spans="1:22" ht="43.95" customHeight="1" x14ac:dyDescent="0.3">
      <c r="A15" s="92" t="str">
        <f t="shared" si="0"/>
        <v>ssa</v>
      </c>
      <c r="B15" s="562" t="s">
        <v>117</v>
      </c>
      <c r="C15" s="195" t="str">
        <f t="shared" si="1"/>
        <v>Gestión de Servicios Administrativos</v>
      </c>
      <c r="D15" s="434">
        <v>130</v>
      </c>
      <c r="E15" s="434" t="str">
        <f t="shared" si="2"/>
        <v>Prestar a satisfacción los servicios Administrativos y Generales</v>
      </c>
      <c r="F15" s="565" t="str">
        <f t="shared" si="2"/>
        <v>Servicios Administrativos y Generales prestados a satisfacción</v>
      </c>
      <c r="G15" s="565"/>
      <c r="H15" s="434" t="str">
        <f t="shared" si="2"/>
        <v>Constante</v>
      </c>
      <c r="I15" s="434" t="str">
        <f t="shared" si="2"/>
        <v>Porcentaje</v>
      </c>
      <c r="J15" s="126">
        <v>95</v>
      </c>
      <c r="K15" s="126">
        <v>95</v>
      </c>
      <c r="L15" s="126">
        <v>95</v>
      </c>
      <c r="M15" s="126">
        <v>95</v>
      </c>
      <c r="N15" s="126">
        <v>95</v>
      </c>
      <c r="O15" s="126">
        <v>95</v>
      </c>
      <c r="P15" s="170">
        <f t="shared" si="3"/>
        <v>95</v>
      </c>
      <c r="Q15" s="126" t="s">
        <v>601</v>
      </c>
      <c r="R15" s="171" t="str">
        <f t="shared" si="4"/>
        <v/>
      </c>
      <c r="S15" s="172" t="str">
        <f>+VLOOKUP($D15,bd,MATCH(S$9,BD_metas!$A$5:$DB$5,0),0)</f>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
      <c r="T15" s="172" t="str">
        <f>+VLOOKUP($D15,bd,MATCH(T$9,BD_metas!$A$5:$DB$5,0),0)</f>
        <v xml:space="preserve">• Realizar actividades necesarias para la prestación de los servicios administrativos y generales a satisfacción </v>
      </c>
      <c r="U15" s="172" t="str">
        <f>+VLOOKUP($D15,bd,MATCH(U$9,BD_metas!$A$5:$DB$5,0),0)</f>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
      <c r="V15" s="174" t="str">
        <f>+VLOOKUP($D15,bd,MATCH(V$9,BD_metas!$A$5:$DB$5,0),0)</f>
        <v>* Informe con las Estadisticas del Sistema de Servicios Administrativos</v>
      </c>
    </row>
    <row r="16" spans="1:22" ht="43.95" customHeight="1" x14ac:dyDescent="0.3">
      <c r="A16" s="92" t="e">
        <f t="shared" si="0"/>
        <v>#N/A</v>
      </c>
      <c r="B16" s="563"/>
      <c r="C16" s="79" t="str">
        <f t="shared" si="1"/>
        <v>Gestión Documental Interna</v>
      </c>
      <c r="D16" s="432">
        <v>126</v>
      </c>
      <c r="E16" s="432" t="str">
        <f t="shared" si="2"/>
        <v>Organizar los archivos de gestión de la entidad</v>
      </c>
      <c r="F16" s="566" t="str">
        <f t="shared" si="2"/>
        <v>Archivos de gestión de la entidad organizados</v>
      </c>
      <c r="G16" s="566"/>
      <c r="H16" s="432" t="str">
        <f t="shared" si="2"/>
        <v>Constante</v>
      </c>
      <c r="I16" s="432" t="str">
        <f t="shared" si="2"/>
        <v>Porcentaje</v>
      </c>
      <c r="J16" s="50">
        <v>0</v>
      </c>
      <c r="K16" s="50">
        <v>15</v>
      </c>
      <c r="L16" s="50">
        <v>11</v>
      </c>
      <c r="M16" s="50">
        <v>0</v>
      </c>
      <c r="N16" s="50">
        <v>0</v>
      </c>
      <c r="O16" s="50">
        <v>0</v>
      </c>
      <c r="P16" s="51">
        <f t="shared" si="3"/>
        <v>100</v>
      </c>
      <c r="Q16" s="50" t="s">
        <v>638</v>
      </c>
      <c r="R16" s="52">
        <f t="shared" si="4"/>
        <v>26</v>
      </c>
      <c r="S16" s="93" t="str">
        <f>+VLOOKUP($D16,bd,MATCH(S$9,BD_metas!$A$5:$DB$5,0),0)</f>
        <v xml:space="preserve">Fortalecer  y  normalizar los archivos de gestión de la entidad.   Es necesario sensibilizar a los servidores con relación a la organización de documentos para ponerlos al servicio de las diferentes dependencias de la Secretaria General.  </v>
      </c>
      <c r="T16" s="93" t="str">
        <f>+VLOOKUP($D16,bd,MATCH(T$9,BD_metas!$A$5:$DB$5,0),0)</f>
        <v>• Capacitar a los servidores responsables de los archivos de gestión en la diferentes dependencias de la Secretaria General.</v>
      </c>
      <c r="U16" s="93" t="str">
        <f>+VLOOKUP($D16,bd,MATCH(U$9,BD_metas!$A$5:$DB$5,0),0)</f>
        <v xml:space="preserve">Disponer oportunamente con los documentos en caso de cualquier consulta o requerimiento por parte de los ciudadanos, dado que los  archivos de las dependencias de la Secretaria General se encuentran organizados y normalizados. </v>
      </c>
      <c r="V16" s="94" t="str">
        <f>+VLOOKUP($D16,bd,MATCH(V$9,BD_metas!$A$5:$DB$5,0),0)</f>
        <v>* Programación de asistencias técnicas
* Formatos de asistencia o actas de evidencia de reunión.</v>
      </c>
    </row>
    <row r="17" spans="1:22" ht="43.95" customHeight="1" x14ac:dyDescent="0.3">
      <c r="A17" s="92" t="e">
        <f t="shared" si="0"/>
        <v>#N/A</v>
      </c>
      <c r="B17" s="563"/>
      <c r="C17" s="79" t="str">
        <f t="shared" si="1"/>
        <v>Gestión de Recursos Físicos</v>
      </c>
      <c r="D17" s="432">
        <v>128</v>
      </c>
      <c r="E17" s="432" t="str">
        <f t="shared" si="2"/>
        <v>Tramitar oportunamente las solicitudes de recursos físicos</v>
      </c>
      <c r="F17" s="566" t="str">
        <f t="shared" si="2"/>
        <v>Solicitudes de recursos físicos tramitadas oportunamente</v>
      </c>
      <c r="G17" s="566"/>
      <c r="H17" s="432" t="str">
        <f t="shared" si="2"/>
        <v>Constante</v>
      </c>
      <c r="I17" s="432" t="str">
        <f t="shared" si="2"/>
        <v>Porcentaje</v>
      </c>
      <c r="J17" s="50">
        <v>80</v>
      </c>
      <c r="K17" s="50">
        <v>80</v>
      </c>
      <c r="L17" s="50">
        <v>80</v>
      </c>
      <c r="M17" s="50">
        <v>80</v>
      </c>
      <c r="N17" s="50">
        <v>80</v>
      </c>
      <c r="O17" s="50">
        <v>80</v>
      </c>
      <c r="P17" s="51">
        <f t="shared" si="3"/>
        <v>80</v>
      </c>
      <c r="Q17" s="50" t="s">
        <v>601</v>
      </c>
      <c r="R17" s="52" t="str">
        <f t="shared" si="4"/>
        <v/>
      </c>
      <c r="S17" s="93" t="str">
        <f>+VLOOKUP($D17,bd,MATCH(S$9,BD_metas!$A$5:$DB$5,0),0)</f>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
      <c r="T17" s="93" t="str">
        <f>+VLOOKUP($D17,bd,MATCH(T$9,BD_metas!$A$5:$DB$5,0),0)</f>
        <v xml:space="preserve">• Gestionar los tramites de recursos físicos </v>
      </c>
      <c r="U17" s="93" t="str">
        <f>+VLOOKUP($D17,bd,MATCH(U$9,BD_metas!$A$5:$DB$5,0),0)</f>
        <v>Se requiere cumplir con los tiempos normativos establecidos para la atención a los trámites de recursos físicos, para que los funcionarios puedan contar con elementos en buen estado y de manera oportuna que permitan la prestacion de sus servicios.</v>
      </c>
      <c r="V17" s="94" t="str">
        <f>+VLOOKUP($D17,bd,MATCH(V$9,BD_metas!$A$5:$DB$5,0),0)</f>
        <v>*Informe de acuerdo con la informacion descargada del Sistema de correspondencia interna del SAI</v>
      </c>
    </row>
    <row r="18" spans="1:22" ht="43.95" customHeight="1" thickBot="1" x14ac:dyDescent="0.35">
      <c r="A18" s="92" t="e">
        <f t="shared" si="0"/>
        <v>#N/A</v>
      </c>
      <c r="B18" s="564"/>
      <c r="C18" s="80" t="str">
        <f t="shared" si="1"/>
        <v>Gestión de Recursos Físicos</v>
      </c>
      <c r="D18" s="433">
        <v>129</v>
      </c>
      <c r="E18" s="433" t="str">
        <f t="shared" si="2"/>
        <v>Prestar a satisfacción los servicios de entrega de elementos de consumo</v>
      </c>
      <c r="F18" s="567" t="str">
        <f t="shared" si="2"/>
        <v>Servicios de entrega de elementos de consumo prestados a satisfacción</v>
      </c>
      <c r="G18" s="567"/>
      <c r="H18" s="433" t="str">
        <f t="shared" si="2"/>
        <v>Constante</v>
      </c>
      <c r="I18" s="433" t="str">
        <f t="shared" si="2"/>
        <v>Porcentaje</v>
      </c>
      <c r="J18" s="53">
        <v>95</v>
      </c>
      <c r="K18" s="53">
        <v>95</v>
      </c>
      <c r="L18" s="53">
        <v>95</v>
      </c>
      <c r="M18" s="53">
        <v>95</v>
      </c>
      <c r="N18" s="53">
        <v>95</v>
      </c>
      <c r="O18" s="53">
        <v>95</v>
      </c>
      <c r="P18" s="54">
        <f t="shared" si="3"/>
        <v>95</v>
      </c>
      <c r="Q18" s="53" t="s">
        <v>601</v>
      </c>
      <c r="R18" s="55" t="str">
        <f t="shared" si="4"/>
        <v/>
      </c>
      <c r="S18" s="95" t="str">
        <f>+VLOOKUP($D18,bd,MATCH(S$9,BD_metas!$A$5:$DB$5,0),0)</f>
        <v>Medir el nivel de satisfacción del usuario frente a la entrega oportuna de los elementos de consumo.  Con este indicador se pretende: medir los tiempos de entrega, calidad del servicio por parte de los servidores del proceso de Recursos Físicos</v>
      </c>
      <c r="T18" s="95" t="str">
        <f>+VLOOKUP($D18,bd,MATCH(T$9,BD_metas!$A$5:$DB$5,0),0)</f>
        <v xml:space="preserve">• Entregar elementos de consumo satisfactoriamente </v>
      </c>
      <c r="U18" s="95" t="str">
        <f>+VLOOKUP($D18,bd,MATCH(U$9,BD_metas!$A$5:$DB$5,0),0)</f>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
      <c r="V18" s="96" t="str">
        <f>+VLOOKUP($D18,bd,MATCH(V$9,BD_metas!$A$5:$DB$5,0),0)</f>
        <v>* Encuestas de satisfacción aplicadas.
* Tabulación de encuestas de satisfacción</v>
      </c>
    </row>
    <row r="19" spans="1:22" ht="43.95" hidden="1" customHeight="1" x14ac:dyDescent="0.3">
      <c r="A19" s="92" t="str">
        <f t="shared" si="0"/>
        <v>fin</v>
      </c>
      <c r="B19" s="562" t="s">
        <v>191</v>
      </c>
      <c r="C19" s="195" t="str">
        <f t="shared" si="1"/>
        <v>No Aplica</v>
      </c>
      <c r="D19" s="434" t="s">
        <v>387</v>
      </c>
      <c r="E19" s="434" t="str">
        <f t="shared" si="2"/>
        <v xml:space="preserve">Realizar jornadas de capacitación en programación y ejecución de recursos </v>
      </c>
      <c r="F19" s="565" t="str">
        <f t="shared" si="2"/>
        <v>Jornadas de capacitación en programación y ejecución de recursos realizadas</v>
      </c>
      <c r="G19" s="565"/>
      <c r="H19" s="434" t="str">
        <f t="shared" si="2"/>
        <v>Suma</v>
      </c>
      <c r="I19" s="434" t="str">
        <f t="shared" si="2"/>
        <v>Número</v>
      </c>
      <c r="J19" s="126"/>
      <c r="K19" s="126"/>
      <c r="L19" s="126"/>
      <c r="M19" s="126"/>
      <c r="N19" s="126"/>
      <c r="O19" s="126"/>
      <c r="P19" s="170">
        <f t="shared" si="3"/>
        <v>1</v>
      </c>
      <c r="Q19" s="126" t="s">
        <v>638</v>
      </c>
      <c r="R19" s="171">
        <f t="shared" si="4"/>
        <v>0</v>
      </c>
      <c r="S19" s="172" t="str">
        <f>+VLOOKUP($D19,bd,MATCH(S$9,BD_metas!$A$5:$DB$5,0),0)</f>
        <v>Jornadas de socialización relacionadas a la programación y/o ejecución de recursos.</v>
      </c>
      <c r="T19" s="172" t="str">
        <f>+VLOOKUP($D19,bd,MATCH(T$9,BD_metas!$A$5:$DB$5,0),0)</f>
        <v>• Estructurar jornadas de socialización frente a la programación y ejecución de recursos. 
Preparar el material para las jornadas de socialización.
Desarrollar las jornadas de socialización.</v>
      </c>
      <c r="U19" s="172" t="str">
        <f>+VLOOKUP($D19,bd,MATCH(U$9,BD_metas!$A$5:$DB$5,0),0)</f>
        <v xml:space="preserve">* Alcanzar niveles óptimos de ejecución en los recursos asignados a las dependencias
* Transferencia del conocimiento 
* Contribuir a las gestión de las dependencias ejecutoras y la Subdirección Financiera
* Prevención de riesgos. </v>
      </c>
      <c r="V19" s="174" t="str">
        <f>+VLOOKUP($D19,bd,MATCH(V$9,BD_metas!$A$5:$DB$5,0),0)</f>
        <v>*Convocatorias
* Material dispuesto para las capacitaciones
* Listas de asistencias a las jornadas realizadas.</v>
      </c>
    </row>
    <row r="20" spans="1:22" ht="43.95" customHeight="1" x14ac:dyDescent="0.3">
      <c r="A20" s="92" t="e">
        <f t="shared" si="0"/>
        <v>#N/A</v>
      </c>
      <c r="B20" s="563"/>
      <c r="C20" s="79" t="str">
        <f t="shared" si="1"/>
        <v>Gestión Financiera</v>
      </c>
      <c r="D20" s="432">
        <v>122</v>
      </c>
      <c r="E20" s="432" t="str">
        <f t="shared" si="2"/>
        <v>Generar lineamientos técnicos para la programación, priorización, ejecución y seguimiento de recursos financieros</v>
      </c>
      <c r="F20" s="566" t="str">
        <f t="shared" si="2"/>
        <v>Lineamientos técnicos para la programación, priorización, ejecución y seguimiento de recursos financieros generados</v>
      </c>
      <c r="G20" s="566"/>
      <c r="H20" s="432" t="str">
        <f t="shared" si="2"/>
        <v>Suma</v>
      </c>
      <c r="I20" s="432" t="str">
        <f t="shared" si="2"/>
        <v>Número</v>
      </c>
      <c r="J20" s="50">
        <v>1</v>
      </c>
      <c r="K20" s="50">
        <v>0</v>
      </c>
      <c r="L20" s="50">
        <v>0</v>
      </c>
      <c r="M20" s="50">
        <v>1</v>
      </c>
      <c r="N20" s="50">
        <v>0</v>
      </c>
      <c r="O20" s="50">
        <v>0</v>
      </c>
      <c r="P20" s="51">
        <f t="shared" si="3"/>
        <v>2</v>
      </c>
      <c r="Q20" s="50" t="s">
        <v>638</v>
      </c>
      <c r="R20" s="52">
        <f t="shared" si="4"/>
        <v>2</v>
      </c>
      <c r="S20" s="93" t="str">
        <f>+VLOOKUP($D20,bd,MATCH(S$9,BD_metas!$A$5:$DB$5,0),0)</f>
        <v>Lineamientos divulgados frente a programación y ejecución de recursos para la vigencia.</v>
      </c>
      <c r="T20" s="93" t="str">
        <f>+VLOOKUP($D20,bd,MATCH(T$9,BD_metas!$A$5:$DB$5,0),0)</f>
        <v>• Circulares de lineamientos frente a la programación y ejecución de recursos financieros</v>
      </c>
      <c r="U20" s="93" t="str">
        <f>+VLOOKUP($D20,bd,MATCH(U$9,BD_metas!$A$5:$DB$5,0),0)</f>
        <v>* Divulgar y sensibilizar las directrices relacionadas con los temas financieros de interés para las dependencias.
* Contribuir a las gestión de las dependencias ejecutoras y la Subdirección Financiera
* Prevención de riesgos.</v>
      </c>
      <c r="V20" s="94" t="str">
        <f>+VLOOKUP($D20,bd,MATCH(V$9,BD_metas!$A$5:$DB$5,0),0)</f>
        <v>* Circulares emitidas, comunicaciones internas y documentos socializados con las dependencias.</v>
      </c>
    </row>
    <row r="21" spans="1:22" ht="43.95" customHeight="1" x14ac:dyDescent="0.3">
      <c r="A21" s="92" t="e">
        <f t="shared" si="0"/>
        <v>#N/A</v>
      </c>
      <c r="B21" s="563"/>
      <c r="C21" s="79" t="str">
        <f t="shared" si="1"/>
        <v>Gestión Financiera</v>
      </c>
      <c r="D21" s="432">
        <v>124</v>
      </c>
      <c r="E21" s="432" t="str">
        <f t="shared" si="2"/>
        <v>Realizar eficientemente la gestión de pagos</v>
      </c>
      <c r="F21" s="566" t="str">
        <f t="shared" si="2"/>
        <v>Gestión eficiente de pagos</v>
      </c>
      <c r="G21" s="566"/>
      <c r="H21" s="432" t="str">
        <f t="shared" si="2"/>
        <v>Decreciente</v>
      </c>
      <c r="I21" s="432" t="str">
        <f t="shared" si="2"/>
        <v>Número</v>
      </c>
      <c r="J21" s="50">
        <v>6</v>
      </c>
      <c r="K21" s="50">
        <v>6</v>
      </c>
      <c r="L21" s="50">
        <v>6</v>
      </c>
      <c r="M21" s="50">
        <v>6</v>
      </c>
      <c r="N21" s="50">
        <v>6</v>
      </c>
      <c r="O21" s="50">
        <v>6</v>
      </c>
      <c r="P21" s="51">
        <f t="shared" si="3"/>
        <v>6</v>
      </c>
      <c r="Q21" s="50" t="s">
        <v>601</v>
      </c>
      <c r="R21" s="52" t="str">
        <f t="shared" si="4"/>
        <v/>
      </c>
      <c r="S21" s="93" t="str">
        <f>+VLOOKUP($D21,bd,MATCH(S$9,BD_metas!$A$5:$DB$5,0),0)</f>
        <v>Tiempo de desembolsos a contratistas, expresado en días.</v>
      </c>
      <c r="T21" s="93" t="str">
        <f>+VLOOKUP($D21,bd,MATCH(T$9,BD_metas!$A$5:$DB$5,0),0)</f>
        <v>• Desembolsos a contratistas.</v>
      </c>
      <c r="U21" s="93" t="str">
        <f>+VLOOKUP($D21,bd,MATCH(U$9,BD_metas!$A$5:$DB$5,0),0)</f>
        <v xml:space="preserve">* Satisfacción del cliente
* Garantes del cumplimiento contractual y tributario. </v>
      </c>
      <c r="V21" s="94" t="str">
        <f>+VLOOKUP($D21,bd,MATCH(V$9,BD_metas!$A$5:$DB$5,0),0)</f>
        <v>*  Ordenes de pago planillas de giro
* Hoja de ruta
* Planillas de liquidación liquidadas y pagadas</v>
      </c>
    </row>
    <row r="22" spans="1:22" ht="43.95" customHeight="1" x14ac:dyDescent="0.3">
      <c r="A22" s="92" t="e">
        <f t="shared" si="0"/>
        <v>#N/A</v>
      </c>
      <c r="B22" s="563"/>
      <c r="C22" s="79" t="str">
        <f t="shared" si="1"/>
        <v>Gestión Financiera</v>
      </c>
      <c r="D22" s="432">
        <v>125</v>
      </c>
      <c r="E22" s="432" t="str">
        <f t="shared" si="2"/>
        <v>Elaborar los documentos de Seguimiento a la ejecución presupuestal vigencia, reserva y pasivos exigibles y al componente PAC.</v>
      </c>
      <c r="F22" s="566" t="str">
        <f t="shared" si="2"/>
        <v>Documentos de Seguimiento a la ejecución presupuestal vigencia, reserva y pasivos exigibles y al componente PAC elaborados</v>
      </c>
      <c r="G22" s="566"/>
      <c r="H22" s="432" t="str">
        <f t="shared" si="2"/>
        <v>Suma</v>
      </c>
      <c r="I22" s="432" t="str">
        <f t="shared" si="2"/>
        <v>Número</v>
      </c>
      <c r="J22" s="50">
        <v>0</v>
      </c>
      <c r="K22" s="50">
        <v>0</v>
      </c>
      <c r="L22" s="50">
        <v>1</v>
      </c>
      <c r="M22" s="50">
        <v>1</v>
      </c>
      <c r="N22" s="50">
        <v>1</v>
      </c>
      <c r="O22" s="50">
        <v>1</v>
      </c>
      <c r="P22" s="51">
        <f t="shared" si="3"/>
        <v>3</v>
      </c>
      <c r="Q22" s="50" t="s">
        <v>638</v>
      </c>
      <c r="R22" s="52">
        <f t="shared" si="4"/>
        <v>4</v>
      </c>
      <c r="S22" s="93" t="str">
        <f>+VLOOKUP($D22,bd,MATCH(S$9,BD_metas!$A$5:$DB$5,0),0)</f>
        <v>Número de memorandos o presentaciones con la información presupuestal sintetizada.</v>
      </c>
      <c r="T22" s="93" t="str">
        <f>+VLOOKUP($D22,bd,MATCH(T$9,BD_metas!$A$5:$DB$5,0),0)</f>
        <v>• Memorandos o presentaciones con la información presupuestal sintetizada.</v>
      </c>
      <c r="U22" s="93" t="str">
        <f>+VLOOKUP($D22,bd,MATCH(U$9,BD_metas!$A$5:$DB$5,0),0)</f>
        <v>* Proporcionar las herramientas para la toma de decisiones.</v>
      </c>
      <c r="V22" s="94" t="str">
        <f>+VLOOKUP($D22,bd,MATCH(V$9,BD_metas!$A$5:$DB$5,0),0)</f>
        <v>* Comunicaciones enviadas.</v>
      </c>
    </row>
    <row r="23" spans="1:22" ht="43.95" customHeight="1" thickBot="1" x14ac:dyDescent="0.35">
      <c r="A23" s="92" t="e">
        <f t="shared" si="0"/>
        <v>#N/A</v>
      </c>
      <c r="B23" s="564"/>
      <c r="C23" s="80" t="str">
        <f t="shared" si="1"/>
        <v>Gestión Financiera</v>
      </c>
      <c r="D23" s="433" t="s">
        <v>389</v>
      </c>
      <c r="E23" s="433" t="str">
        <f t="shared" si="2"/>
        <v>Presentar oportunamente los estados financieros de la entidad ante la Dirección Distrital de Contabilidad</v>
      </c>
      <c r="F23" s="567" t="str">
        <f t="shared" si="2"/>
        <v xml:space="preserve">Estados financieros de la entidad, presentados oportunamente, ante la Dirección Distrital de Contabilidad </v>
      </c>
      <c r="G23" s="567"/>
      <c r="H23" s="433" t="str">
        <f t="shared" si="2"/>
        <v>Suma</v>
      </c>
      <c r="I23" s="433" t="str">
        <f t="shared" si="2"/>
        <v>Número</v>
      </c>
      <c r="J23" s="53">
        <v>0</v>
      </c>
      <c r="K23" s="53">
        <v>0</v>
      </c>
      <c r="L23" s="53">
        <v>0</v>
      </c>
      <c r="M23" s="53">
        <v>1</v>
      </c>
      <c r="N23" s="53">
        <v>0</v>
      </c>
      <c r="O23" s="53">
        <v>0</v>
      </c>
      <c r="P23" s="54">
        <f t="shared" si="3"/>
        <v>1</v>
      </c>
      <c r="Q23" s="53" t="s">
        <v>638</v>
      </c>
      <c r="R23" s="55">
        <f t="shared" si="4"/>
        <v>1</v>
      </c>
      <c r="S23" s="95">
        <f>+VLOOKUP($D23,bd,MATCH(S$9,BD_metas!$A$5:$DB$5,0),0)</f>
        <v>0</v>
      </c>
      <c r="T23" s="95">
        <f>+VLOOKUP($D23,bd,MATCH(T$9,BD_metas!$A$5:$DB$5,0),0)</f>
        <v>0</v>
      </c>
      <c r="U23" s="95" t="str">
        <f>+VLOOKUP($D23,bd,MATCH(U$9,BD_metas!$A$5:$DB$5,0),0)</f>
        <v xml:space="preserve">* Veeduría y control a los recursos públicos
* Cumplimiento normativo para evitar sanciones. </v>
      </c>
      <c r="V23" s="96" t="str">
        <f>+VLOOKUP($D23,bd,MATCH(V$9,BD_metas!$A$5:$DB$5,0),0)</f>
        <v>* Constancia de la validación de la información contable. 
* Información de la auditoria - Control interno y Contraloría.</v>
      </c>
    </row>
    <row r="24" spans="1:22" ht="15" thickBot="1" x14ac:dyDescent="0.35"/>
    <row r="25" spans="1:22" ht="18.600000000000001" thickBot="1" x14ac:dyDescent="0.4">
      <c r="B25" s="568" t="s">
        <v>2017</v>
      </c>
      <c r="C25" s="595"/>
      <c r="D25" s="569"/>
    </row>
    <row r="26" spans="1:22" ht="15" thickBot="1" x14ac:dyDescent="0.35">
      <c r="B26" s="570" t="s">
        <v>2018</v>
      </c>
      <c r="C26" s="605"/>
      <c r="D26" s="571"/>
      <c r="J26" s="616" t="s">
        <v>2019</v>
      </c>
      <c r="K26" s="617"/>
      <c r="L26" s="617"/>
      <c r="M26" s="617"/>
      <c r="N26" s="617"/>
      <c r="O26" s="618"/>
    </row>
    <row r="27" spans="1:22" ht="29.4" customHeight="1" thickBot="1" x14ac:dyDescent="0.35">
      <c r="B27" s="58" t="s">
        <v>1868</v>
      </c>
      <c r="C27" s="181" t="s">
        <v>2073</v>
      </c>
      <c r="D27" s="59" t="s">
        <v>2010</v>
      </c>
      <c r="E27" s="59" t="s">
        <v>1792</v>
      </c>
      <c r="F27" s="59" t="s">
        <v>2020</v>
      </c>
      <c r="G27" s="59" t="s">
        <v>2021</v>
      </c>
      <c r="H27" s="59" t="s">
        <v>2022</v>
      </c>
      <c r="I27" s="59" t="s">
        <v>2023</v>
      </c>
      <c r="J27" s="60" t="s">
        <v>391</v>
      </c>
      <c r="K27" s="60" t="s">
        <v>392</v>
      </c>
      <c r="L27" s="60" t="s">
        <v>393</v>
      </c>
      <c r="M27" s="60" t="s">
        <v>394</v>
      </c>
      <c r="N27" s="61" t="s">
        <v>395</v>
      </c>
      <c r="O27" s="61" t="s">
        <v>396</v>
      </c>
    </row>
    <row r="28" spans="1:22" ht="44.4" customHeight="1" x14ac:dyDescent="0.3">
      <c r="B28" s="576" t="str">
        <f>+VLOOKUP(D28,bd,MATCH("Área o dependencia",bdfila,0),0)</f>
        <v>Subsecretaría Corporativa</v>
      </c>
      <c r="C28" s="611" t="str">
        <f>+VLOOKUP(D28,bd,MATCH("PROCESO: ",bdfila,0),0)</f>
        <v>Contratación</v>
      </c>
      <c r="D28" s="442">
        <f>+D10</f>
        <v>90</v>
      </c>
      <c r="E28" s="604" t="str">
        <f>+VLOOKUP($D28,bd,MATCH(E$9,bdfila,0),0)</f>
        <v>Monitorear y generar alertas tempranas frente al 100% de la ejecución Plan Anual de Adquisiciones - PAA y del presupuesto asignado para la vigencia</v>
      </c>
      <c r="F28" s="63" t="str">
        <f>D28&amp;"_V1"</f>
        <v>90_V1</v>
      </c>
      <c r="G28" s="64" t="str">
        <f>+VLOOKUP(D28,bd,MATCH(I28,BD_metas!$A$5:$DB$5,0),0)</f>
        <v>Seguimiento Ejecutado en el Periodo</v>
      </c>
      <c r="H28" s="65" t="s">
        <v>2030</v>
      </c>
      <c r="I28" s="65" t="s">
        <v>1029</v>
      </c>
      <c r="J28" s="66">
        <v>1</v>
      </c>
      <c r="K28" s="66">
        <v>1</v>
      </c>
      <c r="L28" s="66">
        <v>1</v>
      </c>
      <c r="M28" s="66">
        <v>1</v>
      </c>
      <c r="N28" s="66">
        <v>1</v>
      </c>
      <c r="O28" s="67">
        <v>1</v>
      </c>
    </row>
    <row r="29" spans="1:22" ht="63.75" customHeight="1" x14ac:dyDescent="0.3">
      <c r="B29" s="563"/>
      <c r="C29" s="612"/>
      <c r="D29" s="183">
        <f>+D28</f>
        <v>90</v>
      </c>
      <c r="E29" s="593"/>
      <c r="F29" s="69" t="str">
        <f>D29&amp;"_V2"</f>
        <v>90_V2</v>
      </c>
      <c r="G29" s="70" t="str">
        <f>+VLOOKUP(D29,bd,MATCH(I29,BD_metas!$A$5:$DB$5,0),0)</f>
        <v>Seguimiento Programado en el Periodo</v>
      </c>
      <c r="H29" s="56" t="s">
        <v>2030</v>
      </c>
      <c r="I29" s="56" t="s">
        <v>1030</v>
      </c>
      <c r="J29" s="50">
        <v>1</v>
      </c>
      <c r="K29" s="50">
        <v>1</v>
      </c>
      <c r="L29" s="50">
        <v>1</v>
      </c>
      <c r="M29" s="50">
        <v>1</v>
      </c>
      <c r="N29" s="50">
        <v>1</v>
      </c>
      <c r="O29" s="71">
        <v>1</v>
      </c>
    </row>
    <row r="30" spans="1:22" ht="81.150000000000006" customHeight="1" x14ac:dyDescent="0.3">
      <c r="B30" s="563"/>
      <c r="C30" s="612"/>
      <c r="D30" s="183">
        <f>+D29</f>
        <v>90</v>
      </c>
      <c r="E30" s="593"/>
      <c r="F30" s="69" t="str">
        <f>D29&amp;"_I1"</f>
        <v>90_I1</v>
      </c>
      <c r="G30" s="70" t="s">
        <v>1823</v>
      </c>
      <c r="H30" s="56" t="s">
        <v>2031</v>
      </c>
      <c r="I30" s="56" t="s">
        <v>2032</v>
      </c>
      <c r="J30" s="258" t="s">
        <v>2420</v>
      </c>
      <c r="K30" s="258" t="s">
        <v>2421</v>
      </c>
      <c r="L30" s="258" t="s">
        <v>2422</v>
      </c>
      <c r="M30" s="258" t="s">
        <v>2423</v>
      </c>
      <c r="N30" s="258" t="s">
        <v>2424</v>
      </c>
      <c r="O30" s="258" t="s">
        <v>2425</v>
      </c>
    </row>
    <row r="31" spans="1:22" ht="108.75" customHeight="1" x14ac:dyDescent="0.3">
      <c r="B31" s="563"/>
      <c r="C31" s="612"/>
      <c r="D31" s="183">
        <f>+D30</f>
        <v>90</v>
      </c>
      <c r="E31" s="593"/>
      <c r="F31" s="69" t="str">
        <f>D31&amp;"_I2"</f>
        <v>90_I2</v>
      </c>
      <c r="G31" s="70" t="s">
        <v>1824</v>
      </c>
      <c r="H31" s="56" t="s">
        <v>2031</v>
      </c>
      <c r="I31" s="56" t="s">
        <v>2038</v>
      </c>
      <c r="J31" s="258" t="s">
        <v>2426</v>
      </c>
      <c r="K31" s="258" t="s">
        <v>2426</v>
      </c>
      <c r="L31" s="258" t="s">
        <v>2426</v>
      </c>
      <c r="M31" s="258" t="s">
        <v>2426</v>
      </c>
      <c r="N31" s="258" t="s">
        <v>2426</v>
      </c>
      <c r="O31" s="258" t="s">
        <v>2426</v>
      </c>
    </row>
    <row r="32" spans="1:22" ht="102" customHeight="1" thickBot="1" x14ac:dyDescent="0.35">
      <c r="B32" s="564"/>
      <c r="C32" s="613"/>
      <c r="D32" s="184">
        <f>+D31</f>
        <v>90</v>
      </c>
      <c r="E32" s="594"/>
      <c r="F32" s="73" t="str">
        <f>D32&amp;"_I3"</f>
        <v>90_I3</v>
      </c>
      <c r="G32" s="74" t="s">
        <v>1825</v>
      </c>
      <c r="H32" s="57" t="s">
        <v>2031</v>
      </c>
      <c r="I32" s="57" t="s">
        <v>2042</v>
      </c>
      <c r="J32" s="260" t="s">
        <v>2427</v>
      </c>
      <c r="K32" s="260" t="s">
        <v>2427</v>
      </c>
      <c r="L32" s="260" t="s">
        <v>2428</v>
      </c>
      <c r="M32" s="260" t="s">
        <v>2428</v>
      </c>
      <c r="N32" s="260" t="s">
        <v>2428</v>
      </c>
      <c r="O32" s="260" t="s">
        <v>2429</v>
      </c>
    </row>
    <row r="33" spans="2:15" ht="41.4" x14ac:dyDescent="0.3">
      <c r="B33" s="627" t="str">
        <f>+VLOOKUP(D33,bd,MATCH("Área o dependencia",bdfila,0),0)</f>
        <v>Dirección de Talento Humano</v>
      </c>
      <c r="C33" s="629" t="str">
        <f>+VLOOKUP(D33,bd,MATCH("PROCESO: ",bdfila,0),0)</f>
        <v>Gestión de seguridad y Salud en el trabajo</v>
      </c>
      <c r="D33" s="76">
        <f>+D11</f>
        <v>101</v>
      </c>
      <c r="E33" s="565" t="str">
        <f>+VLOOKUP($D33,bd,MATCH(E$9,bdfila,0),0)</f>
        <v xml:space="preserve">Ejecutar el Plan de Trabajo del Sistema de Seguridad y Salud en el Trabajo </v>
      </c>
      <c r="F33" s="77" t="str">
        <f>D33&amp;"_V1"</f>
        <v>101_V1</v>
      </c>
      <c r="G33" s="124" t="str">
        <f>+VLOOKUP(D33,bd,MATCH(I33,BD_metas!$A$5:$DB$5,0),0)</f>
        <v>Actividades ejecutadas del Plan de Trabajo del Sistema de Gestión de Seguridad y Salud en el Trabajo</v>
      </c>
      <c r="H33" s="78" t="s">
        <v>2030</v>
      </c>
      <c r="I33" s="78" t="s">
        <v>1029</v>
      </c>
      <c r="J33" s="273">
        <v>0</v>
      </c>
      <c r="K33" s="273">
        <v>0</v>
      </c>
      <c r="L33" s="273">
        <v>1</v>
      </c>
      <c r="M33" s="273">
        <v>1</v>
      </c>
      <c r="N33" s="274">
        <v>1</v>
      </c>
      <c r="O33" s="128">
        <v>1</v>
      </c>
    </row>
    <row r="34" spans="2:15" ht="41.4" x14ac:dyDescent="0.3">
      <c r="B34" s="627"/>
      <c r="C34" s="629"/>
      <c r="D34" s="68">
        <f>+D33</f>
        <v>101</v>
      </c>
      <c r="E34" s="566"/>
      <c r="F34" s="69" t="str">
        <f>D34&amp;"_V2"</f>
        <v>101_V2</v>
      </c>
      <c r="G34" s="70" t="str">
        <f>+VLOOKUP(D34,bd,MATCH(I34,BD_metas!$A$5:$DB$5,0),0)</f>
        <v>Actividades programadas del Plan de Trabajo del Sistema de Gestión de Seguridad y Salud en el Trabajo</v>
      </c>
      <c r="H34" s="56" t="s">
        <v>2030</v>
      </c>
      <c r="I34" s="56" t="s">
        <v>1030</v>
      </c>
      <c r="J34" s="258">
        <v>0</v>
      </c>
      <c r="K34" s="258">
        <v>1</v>
      </c>
      <c r="L34" s="258">
        <v>1</v>
      </c>
      <c r="M34" s="258">
        <v>1</v>
      </c>
      <c r="N34" s="259">
        <v>1</v>
      </c>
      <c r="O34" s="71">
        <v>0</v>
      </c>
    </row>
    <row r="35" spans="2:15" ht="409.6" x14ac:dyDescent="0.3">
      <c r="B35" s="627"/>
      <c r="C35" s="629"/>
      <c r="D35" s="68">
        <f>+D34</f>
        <v>101</v>
      </c>
      <c r="E35" s="566"/>
      <c r="F35" s="69" t="str">
        <f>D34&amp;"_I1"</f>
        <v>101_I1</v>
      </c>
      <c r="G35" s="70" t="s">
        <v>1823</v>
      </c>
      <c r="H35" s="56" t="s">
        <v>2031</v>
      </c>
      <c r="I35" s="56" t="s">
        <v>2032</v>
      </c>
      <c r="J35" s="258" t="s">
        <v>2430</v>
      </c>
      <c r="K35" s="258" t="s">
        <v>2431</v>
      </c>
      <c r="L35" s="258" t="s">
        <v>2432</v>
      </c>
      <c r="M35" s="258" t="s">
        <v>2433</v>
      </c>
      <c r="N35" s="259" t="s">
        <v>2434</v>
      </c>
      <c r="O35" s="399" t="s">
        <v>2435</v>
      </c>
    </row>
    <row r="36" spans="2:15" ht="90" customHeight="1" x14ac:dyDescent="0.3">
      <c r="B36" s="627"/>
      <c r="C36" s="629"/>
      <c r="D36" s="68">
        <f>+D35</f>
        <v>101</v>
      </c>
      <c r="E36" s="566"/>
      <c r="F36" s="69" t="str">
        <f>D36&amp;"_I2"</f>
        <v>101_I2</v>
      </c>
      <c r="G36" s="70" t="s">
        <v>1824</v>
      </c>
      <c r="H36" s="56" t="s">
        <v>2031</v>
      </c>
      <c r="I36" s="56" t="s">
        <v>2038</v>
      </c>
      <c r="J36" s="258" t="s">
        <v>2436</v>
      </c>
      <c r="K36" s="275" t="s">
        <v>2437</v>
      </c>
      <c r="L36" s="258" t="s">
        <v>2431</v>
      </c>
      <c r="M36" s="258" t="s">
        <v>2431</v>
      </c>
      <c r="N36" s="259" t="s">
        <v>2431</v>
      </c>
      <c r="O36" s="400" t="s">
        <v>2438</v>
      </c>
    </row>
    <row r="37" spans="2:15" ht="79.5" customHeight="1" thickBot="1" x14ac:dyDescent="0.35">
      <c r="B37" s="630"/>
      <c r="C37" s="596"/>
      <c r="D37" s="72">
        <f>+D36</f>
        <v>101</v>
      </c>
      <c r="E37" s="567"/>
      <c r="F37" s="73" t="str">
        <f>D37&amp;"_I3"</f>
        <v>101_I3</v>
      </c>
      <c r="G37" s="74" t="s">
        <v>1825</v>
      </c>
      <c r="H37" s="57" t="s">
        <v>2031</v>
      </c>
      <c r="I37" s="57" t="s">
        <v>2042</v>
      </c>
      <c r="J37" s="258" t="s">
        <v>2436</v>
      </c>
      <c r="K37" s="260" t="s">
        <v>2439</v>
      </c>
      <c r="L37" s="260" t="s">
        <v>2440</v>
      </c>
      <c r="M37" s="260" t="s">
        <v>2441</v>
      </c>
      <c r="N37" s="261" t="s">
        <v>2442</v>
      </c>
      <c r="O37" s="401" t="s">
        <v>2443</v>
      </c>
    </row>
    <row r="38" spans="2:15" ht="41.4" x14ac:dyDescent="0.3">
      <c r="B38" s="626" t="str">
        <f>+VLOOKUP(D38,bd,MATCH("Área o dependencia",bdfila,0),0)</f>
        <v>Dirección de Talento Humano</v>
      </c>
      <c r="C38" s="628" t="str">
        <f>+VLOOKUP(D38,bd,MATCH("PROCESO: ",bdfila,0),0)</f>
        <v>Gestión Estratégica del Talento Humano</v>
      </c>
      <c r="D38" s="76" t="str">
        <f>+D12</f>
        <v>108C</v>
      </c>
      <c r="E38" s="565" t="str">
        <f>+VLOOKUP($D38,bd,MATCH(E$9,bdfila,0),0)</f>
        <v>Ejecutar el Plan Estratégico de la Dirección de Talento Humano</v>
      </c>
      <c r="F38" s="77" t="str">
        <f>D38&amp;"_V1"</f>
        <v>108C_V1</v>
      </c>
      <c r="G38" s="64" t="str">
        <f>+VLOOKUP(D38,bd,MATCH(I38,BD_metas!$A$5:$DB$5,0),0)</f>
        <v>Actividades ejecutadas del Plan de Estratégico de la Dirección de Talento Humano</v>
      </c>
      <c r="H38" s="78" t="s">
        <v>2030</v>
      </c>
      <c r="I38" s="78" t="s">
        <v>1029</v>
      </c>
      <c r="J38" s="66">
        <v>0</v>
      </c>
      <c r="K38" s="66">
        <v>2</v>
      </c>
      <c r="L38" s="66">
        <v>2</v>
      </c>
      <c r="M38" s="66">
        <v>4</v>
      </c>
      <c r="N38" s="191">
        <v>2</v>
      </c>
      <c r="O38" s="67">
        <v>14</v>
      </c>
    </row>
    <row r="39" spans="2:15" ht="41.4" x14ac:dyDescent="0.3">
      <c r="B39" s="627"/>
      <c r="C39" s="629"/>
      <c r="D39" s="68" t="str">
        <f>+D38</f>
        <v>108C</v>
      </c>
      <c r="E39" s="566"/>
      <c r="F39" s="69" t="str">
        <f>D39&amp;"_V2"</f>
        <v>108C_V2</v>
      </c>
      <c r="G39" s="70" t="str">
        <f>+VLOOKUP(D39,bd,MATCH(I39,BD_metas!$A$5:$DB$5,0),0)</f>
        <v>Actividades programadas del Plan Estratégico de la Dirección de Talento Humano</v>
      </c>
      <c r="H39" s="56" t="s">
        <v>2030</v>
      </c>
      <c r="I39" s="56" t="s">
        <v>1030</v>
      </c>
      <c r="J39" s="50">
        <v>0</v>
      </c>
      <c r="K39" s="50">
        <v>3</v>
      </c>
      <c r="L39" s="50">
        <v>2</v>
      </c>
      <c r="M39" s="50">
        <v>4</v>
      </c>
      <c r="N39" s="192">
        <v>7</v>
      </c>
      <c r="O39" s="71">
        <v>8</v>
      </c>
    </row>
    <row r="40" spans="2:15" ht="95.25" customHeight="1" x14ac:dyDescent="0.3">
      <c r="B40" s="627"/>
      <c r="C40" s="629"/>
      <c r="D40" s="68" t="str">
        <f>+D39</f>
        <v>108C</v>
      </c>
      <c r="E40" s="566"/>
      <c r="F40" s="69" t="str">
        <f>D39&amp;"_I1"</f>
        <v>108C_I1</v>
      </c>
      <c r="G40" s="70" t="s">
        <v>1823</v>
      </c>
      <c r="H40" s="56" t="s">
        <v>2031</v>
      </c>
      <c r="I40" s="56" t="s">
        <v>2032</v>
      </c>
      <c r="J40" s="418" t="s">
        <v>2444</v>
      </c>
      <c r="K40" s="418" t="s">
        <v>2445</v>
      </c>
      <c r="L40" s="418" t="s">
        <v>2446</v>
      </c>
      <c r="M40" s="418" t="s">
        <v>2447</v>
      </c>
      <c r="N40" s="418" t="s">
        <v>2448</v>
      </c>
      <c r="O40" s="418" t="s">
        <v>2449</v>
      </c>
    </row>
    <row r="41" spans="2:15" ht="245.25" customHeight="1" x14ac:dyDescent="0.3">
      <c r="B41" s="627"/>
      <c r="C41" s="629"/>
      <c r="D41" s="68" t="str">
        <f>+D40</f>
        <v>108C</v>
      </c>
      <c r="E41" s="566"/>
      <c r="F41" s="69" t="str">
        <f>D41&amp;"_I2"</f>
        <v>108C_I2</v>
      </c>
      <c r="G41" s="70" t="s">
        <v>1824</v>
      </c>
      <c r="H41" s="56" t="s">
        <v>2031</v>
      </c>
      <c r="I41" s="56" t="s">
        <v>2038</v>
      </c>
      <c r="J41" s="418" t="s">
        <v>2450</v>
      </c>
      <c r="K41" s="418" t="s">
        <v>2451</v>
      </c>
      <c r="L41" s="418" t="s">
        <v>2452</v>
      </c>
      <c r="M41" s="418" t="s">
        <v>2453</v>
      </c>
      <c r="N41" s="418" t="s">
        <v>2454</v>
      </c>
      <c r="O41" s="418" t="s">
        <v>2455</v>
      </c>
    </row>
    <row r="42" spans="2:15" ht="169.5" customHeight="1" thickBot="1" x14ac:dyDescent="0.35">
      <c r="B42" s="630"/>
      <c r="C42" s="596"/>
      <c r="D42" s="72" t="str">
        <f>+D41</f>
        <v>108C</v>
      </c>
      <c r="E42" s="567"/>
      <c r="F42" s="73" t="str">
        <f>D42&amp;"_I3"</f>
        <v>108C_I3</v>
      </c>
      <c r="G42" s="74" t="s">
        <v>1825</v>
      </c>
      <c r="H42" s="57" t="s">
        <v>2031</v>
      </c>
      <c r="I42" s="57" t="s">
        <v>2042</v>
      </c>
      <c r="J42" s="419" t="s">
        <v>2444</v>
      </c>
      <c r="K42" s="419" t="s">
        <v>2456</v>
      </c>
      <c r="L42" s="419" t="s">
        <v>2457</v>
      </c>
      <c r="M42" s="419" t="s">
        <v>2458</v>
      </c>
      <c r="N42" s="419" t="s">
        <v>2459</v>
      </c>
      <c r="O42" s="419" t="s">
        <v>2460</v>
      </c>
    </row>
    <row r="43" spans="2:15" ht="38.25" customHeight="1" x14ac:dyDescent="0.3">
      <c r="B43" s="626" t="str">
        <f>+VLOOKUP(D43,bd,MATCH("Área o dependencia",bdfila,0),0)</f>
        <v>Dirección Administrativa y Financiera</v>
      </c>
      <c r="C43" s="628" t="str">
        <f>+VLOOKUP(D43,bd,MATCH("PROCESO: ",bdfila,0),0)</f>
        <v>Gestión de Servicios Administrativos</v>
      </c>
      <c r="D43" s="76">
        <f>+D13</f>
        <v>120</v>
      </c>
      <c r="E43" s="565" t="str">
        <f>+VLOOKUP($D43,bd,MATCH(E$9,bdfila,0),0)</f>
        <v>Implementar el Plan de Seguridad Vial</v>
      </c>
      <c r="F43" s="77" t="str">
        <f>D43&amp;"_V1"</f>
        <v>120_V1</v>
      </c>
      <c r="G43" s="64" t="str">
        <f>+VLOOKUP(D43,bd,MATCH(I43,BD_metas!$A$5:$DB$5,0),0)</f>
        <v xml:space="preserve">Actividades del Plan de Seguridad Vial ejecutadas </v>
      </c>
      <c r="H43" s="78" t="s">
        <v>2030</v>
      </c>
      <c r="I43" s="78" t="s">
        <v>1029</v>
      </c>
      <c r="J43" s="126">
        <v>7</v>
      </c>
      <c r="K43" s="126">
        <v>6</v>
      </c>
      <c r="L43" s="126">
        <v>13</v>
      </c>
      <c r="M43" s="126">
        <v>7</v>
      </c>
      <c r="N43" s="126">
        <v>0</v>
      </c>
      <c r="O43" s="67">
        <v>9</v>
      </c>
    </row>
    <row r="44" spans="2:15" ht="38.25" customHeight="1" x14ac:dyDescent="0.3">
      <c r="B44" s="627"/>
      <c r="C44" s="629"/>
      <c r="D44" s="68">
        <f>+D43</f>
        <v>120</v>
      </c>
      <c r="E44" s="566"/>
      <c r="F44" s="69" t="str">
        <f>D44&amp;"_V2"</f>
        <v>120_V2</v>
      </c>
      <c r="G44" s="70" t="str">
        <f>+VLOOKUP(D44,bd,MATCH(I44,BD_metas!$A$5:$DB$5,0),0)</f>
        <v>Actividades del Plan de Seguridad Vial programadas</v>
      </c>
      <c r="H44" s="56" t="s">
        <v>2030</v>
      </c>
      <c r="I44" s="56" t="s">
        <v>1030</v>
      </c>
      <c r="J44" s="126">
        <v>7</v>
      </c>
      <c r="K44" s="126">
        <v>6</v>
      </c>
      <c r="L44" s="126">
        <v>13</v>
      </c>
      <c r="M44" s="126">
        <v>7</v>
      </c>
      <c r="N44" s="126">
        <v>0</v>
      </c>
      <c r="O44" s="71">
        <v>16</v>
      </c>
    </row>
    <row r="45" spans="2:15" ht="82.5" customHeight="1" x14ac:dyDescent="0.3">
      <c r="B45" s="627"/>
      <c r="C45" s="629"/>
      <c r="D45" s="68">
        <f>+D44</f>
        <v>120</v>
      </c>
      <c r="E45" s="566"/>
      <c r="F45" s="69" t="str">
        <f>D44&amp;"_I1"</f>
        <v>120_I1</v>
      </c>
      <c r="G45" s="70" t="s">
        <v>1823</v>
      </c>
      <c r="H45" s="56" t="s">
        <v>2031</v>
      </c>
      <c r="I45" s="56" t="s">
        <v>2032</v>
      </c>
      <c r="J45" s="278" t="s">
        <v>2461</v>
      </c>
      <c r="K45" s="278" t="s">
        <v>2462</v>
      </c>
      <c r="L45" s="278" t="s">
        <v>2463</v>
      </c>
      <c r="M45" s="278" t="s">
        <v>2464</v>
      </c>
      <c r="N45" s="278" t="s">
        <v>2465</v>
      </c>
      <c r="O45" s="402" t="s">
        <v>2466</v>
      </c>
    </row>
    <row r="46" spans="2:15" ht="84.75" customHeight="1" x14ac:dyDescent="0.3">
      <c r="B46" s="627"/>
      <c r="C46" s="629"/>
      <c r="D46" s="68">
        <f>+D45</f>
        <v>120</v>
      </c>
      <c r="E46" s="566"/>
      <c r="F46" s="69" t="str">
        <f>D46&amp;"_I2"</f>
        <v>120_I2</v>
      </c>
      <c r="G46" s="70" t="s">
        <v>1824</v>
      </c>
      <c r="H46" s="56" t="s">
        <v>2031</v>
      </c>
      <c r="I46" s="56" t="s">
        <v>2038</v>
      </c>
      <c r="J46" s="278" t="s">
        <v>2467</v>
      </c>
      <c r="K46" s="278" t="s">
        <v>2363</v>
      </c>
      <c r="L46" s="278" t="s">
        <v>2363</v>
      </c>
      <c r="M46" s="278" t="s">
        <v>2363</v>
      </c>
      <c r="N46" s="278" t="s">
        <v>2363</v>
      </c>
      <c r="O46" s="278" t="s">
        <v>2468</v>
      </c>
    </row>
    <row r="47" spans="2:15" ht="74.25" customHeight="1" thickBot="1" x14ac:dyDescent="0.35">
      <c r="B47" s="627"/>
      <c r="C47" s="629"/>
      <c r="D47" s="68">
        <f>+D46</f>
        <v>120</v>
      </c>
      <c r="E47" s="619"/>
      <c r="F47" s="202" t="str">
        <f>D47&amp;"_I3"</f>
        <v>120_I3</v>
      </c>
      <c r="G47" s="203" t="s">
        <v>1825</v>
      </c>
      <c r="H47" s="204" t="s">
        <v>2031</v>
      </c>
      <c r="I47" s="204" t="s">
        <v>2042</v>
      </c>
      <c r="J47" s="321" t="s">
        <v>2469</v>
      </c>
      <c r="K47" s="321" t="s">
        <v>2470</v>
      </c>
      <c r="L47" s="321" t="s">
        <v>2471</v>
      </c>
      <c r="M47" s="321" t="s">
        <v>2472</v>
      </c>
      <c r="N47" s="321" t="s">
        <v>2363</v>
      </c>
      <c r="O47" s="321" t="s">
        <v>2473</v>
      </c>
    </row>
    <row r="48" spans="2:15" ht="38.25" customHeight="1" x14ac:dyDescent="0.3">
      <c r="B48" s="576" t="str">
        <f>+VLOOKUP(D48,bd,MATCH("Área o dependencia",bdfila,0),0)</f>
        <v>Dirección Administrativa y Financiera</v>
      </c>
      <c r="C48" s="611" t="str">
        <f>+VLOOKUP(D48,bd,MATCH("PROCESO: ",bdfila,0),0)</f>
        <v>Gestión de Servicios Administrativos</v>
      </c>
      <c r="D48" s="442" t="str">
        <f>+D14</f>
        <v>120B</v>
      </c>
      <c r="E48" s="604" t="str">
        <f>+VLOOKUP($D48,bd,MATCH(E$9,bdfila,0),0)</f>
        <v>Implementar el Plan Integral de Gestión Ambiental - PIGA</v>
      </c>
      <c r="F48" s="63" t="str">
        <f>D48&amp;"_V1"</f>
        <v>120B_V1</v>
      </c>
      <c r="G48" s="64" t="str">
        <f>+VLOOKUP(D48,bd,MATCH(I48,BD_metas!$A$5:$DB$5,0),0)</f>
        <v>Porcentaje de actividades del PIGA de la vigencia, ejecutadas</v>
      </c>
      <c r="H48" s="65" t="s">
        <v>2030</v>
      </c>
      <c r="I48" s="65" t="s">
        <v>1029</v>
      </c>
      <c r="J48" s="323">
        <v>5.62</v>
      </c>
      <c r="K48" s="323">
        <v>8.64</v>
      </c>
      <c r="L48" s="323">
        <v>6.49</v>
      </c>
      <c r="M48" s="323">
        <v>8.2200000000000006</v>
      </c>
      <c r="N48" s="323">
        <v>7.34</v>
      </c>
      <c r="O48" s="67">
        <v>9.9700000000000006</v>
      </c>
    </row>
    <row r="49" spans="2:15" ht="38.25" customHeight="1" x14ac:dyDescent="0.3">
      <c r="B49" s="563"/>
      <c r="C49" s="612"/>
      <c r="D49" s="183" t="str">
        <f>+D48</f>
        <v>120B</v>
      </c>
      <c r="E49" s="593"/>
      <c r="F49" s="69" t="str">
        <f>D49&amp;"_V2"</f>
        <v>120B_V2</v>
      </c>
      <c r="G49" s="70" t="str">
        <f>+VLOOKUP(D49,bd,MATCH(I49,BD_metas!$A$5:$DB$5,0),0)</f>
        <v>Porcentaje de actividades del PIGA de la vigencia, programadas</v>
      </c>
      <c r="H49" s="56" t="s">
        <v>2030</v>
      </c>
      <c r="I49" s="56" t="s">
        <v>1030</v>
      </c>
      <c r="J49" s="322">
        <v>5.62</v>
      </c>
      <c r="K49" s="322">
        <v>8.64</v>
      </c>
      <c r="L49" s="322">
        <v>6.49</v>
      </c>
      <c r="M49" s="322">
        <v>8.2200000000000006</v>
      </c>
      <c r="N49" s="322">
        <v>7.34</v>
      </c>
      <c r="O49" s="71">
        <v>9.9700000000000006</v>
      </c>
    </row>
    <row r="50" spans="2:15" ht="78" customHeight="1" x14ac:dyDescent="0.3">
      <c r="B50" s="563"/>
      <c r="C50" s="612"/>
      <c r="D50" s="183" t="str">
        <f>+D49</f>
        <v>120B</v>
      </c>
      <c r="E50" s="593"/>
      <c r="F50" s="69" t="str">
        <f>D49&amp;"_I1"</f>
        <v>120B_I1</v>
      </c>
      <c r="G50" s="70" t="s">
        <v>1823</v>
      </c>
      <c r="H50" s="56" t="s">
        <v>2031</v>
      </c>
      <c r="I50" s="56" t="s">
        <v>2032</v>
      </c>
      <c r="J50" s="279" t="s">
        <v>2474</v>
      </c>
      <c r="K50" s="279" t="s">
        <v>2475</v>
      </c>
      <c r="L50" s="279" t="s">
        <v>2476</v>
      </c>
      <c r="M50" s="279" t="s">
        <v>2477</v>
      </c>
      <c r="N50" s="279" t="s">
        <v>2478</v>
      </c>
      <c r="O50" s="402" t="s">
        <v>2479</v>
      </c>
    </row>
    <row r="51" spans="2:15" ht="55.2" x14ac:dyDescent="0.3">
      <c r="B51" s="563"/>
      <c r="C51" s="612"/>
      <c r="D51" s="183" t="str">
        <f>+D50</f>
        <v>120B</v>
      </c>
      <c r="E51" s="593"/>
      <c r="F51" s="69" t="str">
        <f>D51&amp;"_I2"</f>
        <v>120B_I2</v>
      </c>
      <c r="G51" s="70" t="s">
        <v>1824</v>
      </c>
      <c r="H51" s="56" t="s">
        <v>2031</v>
      </c>
      <c r="I51" s="56" t="s">
        <v>2038</v>
      </c>
      <c r="J51" s="279" t="s">
        <v>2363</v>
      </c>
      <c r="K51" s="279" t="s">
        <v>2363</v>
      </c>
      <c r="L51" s="279" t="s">
        <v>2363</v>
      </c>
      <c r="M51" s="279" t="s">
        <v>2363</v>
      </c>
      <c r="N51" s="279" t="s">
        <v>2363</v>
      </c>
      <c r="O51" s="71" t="s">
        <v>2363</v>
      </c>
    </row>
    <row r="52" spans="2:15" ht="91.5" customHeight="1" thickBot="1" x14ac:dyDescent="0.35">
      <c r="B52" s="564"/>
      <c r="C52" s="613"/>
      <c r="D52" s="184" t="str">
        <f>+D51</f>
        <v>120B</v>
      </c>
      <c r="E52" s="594"/>
      <c r="F52" s="73" t="str">
        <f>D52&amp;"_I3"</f>
        <v>120B_I3</v>
      </c>
      <c r="G52" s="74" t="s">
        <v>1825</v>
      </c>
      <c r="H52" s="57" t="s">
        <v>2031</v>
      </c>
      <c r="I52" s="57" t="s">
        <v>2042</v>
      </c>
      <c r="J52" s="324" t="s">
        <v>2480</v>
      </c>
      <c r="K52" s="324" t="s">
        <v>2481</v>
      </c>
      <c r="L52" s="324" t="s">
        <v>2482</v>
      </c>
      <c r="M52" s="324" t="s">
        <v>2483</v>
      </c>
      <c r="N52" s="324" t="s">
        <v>2484</v>
      </c>
      <c r="O52" s="403" t="s">
        <v>2485</v>
      </c>
    </row>
    <row r="53" spans="2:15" ht="38.25" customHeight="1" x14ac:dyDescent="0.3">
      <c r="B53" s="627" t="str">
        <f>+VLOOKUP(D53,bd,MATCH("Área o dependencia",bdfila,0),0)</f>
        <v>Subdirección de Servicios Administrativos</v>
      </c>
      <c r="C53" s="629" t="str">
        <f>+VLOOKUP(D53,bd,MATCH("PROCESO: ",bdfila,0),0)</f>
        <v>Gestión de Servicios Administrativos</v>
      </c>
      <c r="D53" s="76">
        <f>+D15</f>
        <v>130</v>
      </c>
      <c r="E53" s="565" t="str">
        <f>+VLOOKUP($D53,bd,MATCH(E$9,bdfila,0),0)</f>
        <v>Prestar a satisfacción los servicios Administrativos y Generales</v>
      </c>
      <c r="F53" s="77" t="str">
        <f>D53&amp;"_V1"</f>
        <v>130_V1</v>
      </c>
      <c r="G53" s="124" t="str">
        <f>+VLOOKUP(D53,bd,MATCH(I53,BD_metas!$A$5:$DB$5,0),0)</f>
        <v>Evaluaciones calificadas como buenas en la prestación de los Servicios Administrativos</v>
      </c>
      <c r="H53" s="78" t="s">
        <v>2030</v>
      </c>
      <c r="I53" s="78" t="s">
        <v>1029</v>
      </c>
      <c r="J53" s="281">
        <v>107</v>
      </c>
      <c r="K53" s="281">
        <v>132</v>
      </c>
      <c r="L53" s="281">
        <v>51</v>
      </c>
      <c r="M53" s="281">
        <v>146</v>
      </c>
      <c r="N53" s="281">
        <v>162</v>
      </c>
      <c r="O53" s="128">
        <v>184</v>
      </c>
    </row>
    <row r="54" spans="2:15" ht="38.25" customHeight="1" x14ac:dyDescent="0.3">
      <c r="B54" s="627"/>
      <c r="C54" s="629"/>
      <c r="D54" s="68">
        <f>+D53</f>
        <v>130</v>
      </c>
      <c r="E54" s="566"/>
      <c r="F54" s="69" t="str">
        <f>D54&amp;"_V2"</f>
        <v>130_V2</v>
      </c>
      <c r="G54" s="70" t="str">
        <f>+VLOOKUP(D54,bd,MATCH(I54,BD_metas!$A$5:$DB$5,0),0)</f>
        <v>Solicitudes tramitadas y prestadas efectivamente</v>
      </c>
      <c r="H54" s="56" t="s">
        <v>2030</v>
      </c>
      <c r="I54" s="56" t="s">
        <v>1030</v>
      </c>
      <c r="J54" s="281">
        <v>107</v>
      </c>
      <c r="K54" s="281">
        <v>132</v>
      </c>
      <c r="L54" s="281">
        <v>51</v>
      </c>
      <c r="M54" s="281">
        <v>146</v>
      </c>
      <c r="N54" s="281">
        <v>162</v>
      </c>
      <c r="O54" s="71">
        <v>184</v>
      </c>
    </row>
    <row r="55" spans="2:15" ht="115.2" x14ac:dyDescent="0.3">
      <c r="B55" s="627"/>
      <c r="C55" s="629"/>
      <c r="D55" s="68">
        <f>+D54</f>
        <v>130</v>
      </c>
      <c r="E55" s="566"/>
      <c r="F55" s="69" t="str">
        <f>D54&amp;"_I1"</f>
        <v>130_I1</v>
      </c>
      <c r="G55" s="70" t="s">
        <v>1823</v>
      </c>
      <c r="H55" s="56" t="s">
        <v>2031</v>
      </c>
      <c r="I55" s="56" t="s">
        <v>2032</v>
      </c>
      <c r="J55" s="279" t="s">
        <v>2486</v>
      </c>
      <c r="K55" s="279" t="s">
        <v>2486</v>
      </c>
      <c r="L55" s="279" t="s">
        <v>642</v>
      </c>
      <c r="M55" s="279" t="s">
        <v>642</v>
      </c>
      <c r="N55" s="279" t="s">
        <v>642</v>
      </c>
      <c r="O55" s="406" t="s">
        <v>2486</v>
      </c>
    </row>
    <row r="56" spans="2:15" ht="68.25" customHeight="1" x14ac:dyDescent="0.3">
      <c r="B56" s="627"/>
      <c r="C56" s="629"/>
      <c r="D56" s="68">
        <f>+D55</f>
        <v>130</v>
      </c>
      <c r="E56" s="566"/>
      <c r="F56" s="69" t="str">
        <f>D56&amp;"_I2"</f>
        <v>130_I2</v>
      </c>
      <c r="G56" s="70" t="s">
        <v>1824</v>
      </c>
      <c r="H56" s="56" t="s">
        <v>2031</v>
      </c>
      <c r="I56" s="56" t="s">
        <v>2038</v>
      </c>
      <c r="J56" s="279" t="s">
        <v>2363</v>
      </c>
      <c r="K56" s="279" t="s">
        <v>2363</v>
      </c>
      <c r="L56" s="279" t="s">
        <v>2487</v>
      </c>
      <c r="M56" s="279" t="s">
        <v>2488</v>
      </c>
      <c r="N56" s="279" t="s">
        <v>2488</v>
      </c>
      <c r="O56" s="406" t="s">
        <v>2489</v>
      </c>
    </row>
    <row r="57" spans="2:15" ht="58.2" thickBot="1" x14ac:dyDescent="0.35">
      <c r="B57" s="630"/>
      <c r="C57" s="596"/>
      <c r="D57" s="72">
        <f>+D56</f>
        <v>130</v>
      </c>
      <c r="E57" s="567"/>
      <c r="F57" s="73" t="str">
        <f>D57&amp;"_I3"</f>
        <v>130_I3</v>
      </c>
      <c r="G57" s="74" t="s">
        <v>1825</v>
      </c>
      <c r="H57" s="57" t="s">
        <v>2031</v>
      </c>
      <c r="I57" s="57" t="s">
        <v>2042</v>
      </c>
      <c r="J57" s="279" t="s">
        <v>2490</v>
      </c>
      <c r="K57" s="279" t="s">
        <v>2490</v>
      </c>
      <c r="L57" s="280" t="s">
        <v>642</v>
      </c>
      <c r="M57" s="280" t="s">
        <v>642</v>
      </c>
      <c r="N57" s="280" t="s">
        <v>642</v>
      </c>
      <c r="O57" s="406" t="s">
        <v>2491</v>
      </c>
    </row>
    <row r="58" spans="2:15" ht="38.25" customHeight="1" x14ac:dyDescent="0.3">
      <c r="B58" s="626" t="str">
        <f>+VLOOKUP(D58,bd,MATCH("Área o dependencia",bdfila,0),0)</f>
        <v>Subdirección de Servicios Administrativos</v>
      </c>
      <c r="C58" s="628" t="str">
        <f>+VLOOKUP(D58,bd,MATCH("PROCESO: ",bdfila,0),0)</f>
        <v>Gestión Documental Interna</v>
      </c>
      <c r="D58" s="76">
        <f>+D16</f>
        <v>126</v>
      </c>
      <c r="E58" s="565" t="str">
        <f>+VLOOKUP($D58,bd,MATCH(E$9,bdfila,0),0)</f>
        <v>Organizar los archivos de gestión de la entidad</v>
      </c>
      <c r="F58" s="77" t="str">
        <f>D58&amp;"_V1"</f>
        <v>126_V1</v>
      </c>
      <c r="G58" s="64" t="str">
        <f>+VLOOKUP(D58,bd,MATCH(I58,BD_metas!$A$5:$DB$5,0),0)</f>
        <v xml:space="preserve">Asistencias técnicas a las dependencias para la organización de archivos de gestión efectuadas </v>
      </c>
      <c r="H58" s="78" t="s">
        <v>2030</v>
      </c>
      <c r="I58" s="78" t="s">
        <v>1029</v>
      </c>
      <c r="J58" s="66">
        <v>0</v>
      </c>
      <c r="K58" s="66">
        <v>15</v>
      </c>
      <c r="L58" s="66">
        <v>11</v>
      </c>
      <c r="M58" s="66">
        <v>0</v>
      </c>
      <c r="N58" s="191">
        <v>0</v>
      </c>
      <c r="O58" s="67">
        <v>0</v>
      </c>
    </row>
    <row r="59" spans="2:15" ht="38.25" customHeight="1" x14ac:dyDescent="0.3">
      <c r="B59" s="627"/>
      <c r="C59" s="629"/>
      <c r="D59" s="68">
        <f>+D58</f>
        <v>126</v>
      </c>
      <c r="E59" s="566"/>
      <c r="F59" s="69" t="str">
        <f>D59&amp;"_V2"</f>
        <v>126_V2</v>
      </c>
      <c r="G59" s="70" t="str">
        <f>+VLOOKUP(D59,bd,MATCH(I59,BD_metas!$A$5:$DB$5,0),0)</f>
        <v xml:space="preserve">Asistencias técnicas a las dependencias para la organización de archivos de gestión programadas </v>
      </c>
      <c r="H59" s="56" t="s">
        <v>2030</v>
      </c>
      <c r="I59" s="56" t="s">
        <v>1030</v>
      </c>
      <c r="J59" s="50">
        <v>0</v>
      </c>
      <c r="K59" s="50">
        <v>15</v>
      </c>
      <c r="L59" s="50">
        <v>11</v>
      </c>
      <c r="M59" s="50">
        <v>0</v>
      </c>
      <c r="N59" s="192">
        <v>0</v>
      </c>
      <c r="O59" s="71">
        <v>0</v>
      </c>
    </row>
    <row r="60" spans="2:15" ht="60" customHeight="1" x14ac:dyDescent="0.3">
      <c r="B60" s="627"/>
      <c r="C60" s="629"/>
      <c r="D60" s="68">
        <f>+D59</f>
        <v>126</v>
      </c>
      <c r="E60" s="566"/>
      <c r="F60" s="69" t="str">
        <f>D59&amp;"_I1"</f>
        <v>126_I1</v>
      </c>
      <c r="G60" s="70" t="s">
        <v>1823</v>
      </c>
      <c r="H60" s="56" t="s">
        <v>2031</v>
      </c>
      <c r="I60" s="56" t="s">
        <v>2032</v>
      </c>
      <c r="J60" s="50" t="s">
        <v>2492</v>
      </c>
      <c r="K60" s="50" t="s">
        <v>2493</v>
      </c>
      <c r="L60" s="50" t="s">
        <v>2494</v>
      </c>
      <c r="M60" s="258" t="s">
        <v>2495</v>
      </c>
      <c r="N60" s="259" t="s">
        <v>2495</v>
      </c>
      <c r="O60" s="259" t="s">
        <v>2495</v>
      </c>
    </row>
    <row r="61" spans="2:15" ht="86.25" customHeight="1" x14ac:dyDescent="0.3">
      <c r="B61" s="627"/>
      <c r="C61" s="629"/>
      <c r="D61" s="68">
        <f>+D60</f>
        <v>126</v>
      </c>
      <c r="E61" s="566"/>
      <c r="F61" s="69" t="str">
        <f>D61&amp;"_I2"</f>
        <v>126_I2</v>
      </c>
      <c r="G61" s="70" t="s">
        <v>1824</v>
      </c>
      <c r="H61" s="56" t="s">
        <v>2031</v>
      </c>
      <c r="I61" s="56" t="s">
        <v>2038</v>
      </c>
      <c r="J61" s="258" t="s">
        <v>2496</v>
      </c>
      <c r="K61" s="258" t="s">
        <v>2496</v>
      </c>
      <c r="L61" s="258" t="s">
        <v>2496</v>
      </c>
      <c r="M61" s="258" t="s">
        <v>2497</v>
      </c>
      <c r="N61" s="259" t="s">
        <v>2497</v>
      </c>
      <c r="O61" s="259" t="s">
        <v>2497</v>
      </c>
    </row>
    <row r="62" spans="2:15" ht="79.5" customHeight="1" thickBot="1" x14ac:dyDescent="0.35">
      <c r="B62" s="630"/>
      <c r="C62" s="596"/>
      <c r="D62" s="72">
        <f>+D61</f>
        <v>126</v>
      </c>
      <c r="E62" s="567"/>
      <c r="F62" s="73" t="str">
        <f>D62&amp;"_I3"</f>
        <v>126_I3</v>
      </c>
      <c r="G62" s="74" t="s">
        <v>1825</v>
      </c>
      <c r="H62" s="57" t="s">
        <v>2031</v>
      </c>
      <c r="I62" s="57" t="s">
        <v>2042</v>
      </c>
      <c r="J62" s="260" t="s">
        <v>2498</v>
      </c>
      <c r="K62" s="260" t="s">
        <v>2498</v>
      </c>
      <c r="L62" s="260" t="s">
        <v>2498</v>
      </c>
      <c r="M62" s="260" t="s">
        <v>2499</v>
      </c>
      <c r="N62" s="261" t="s">
        <v>2499</v>
      </c>
      <c r="O62" s="261" t="s">
        <v>2499</v>
      </c>
    </row>
    <row r="63" spans="2:15" ht="38.25" customHeight="1" thickBot="1" x14ac:dyDescent="0.35">
      <c r="B63" s="626" t="str">
        <f>+VLOOKUP(D63,bd,MATCH("Área o dependencia",bdfila,0),0)</f>
        <v>Subdirección de Servicios Administrativos</v>
      </c>
      <c r="C63" s="628" t="str">
        <f>+VLOOKUP(D63,bd,MATCH("PROCESO: ",bdfila,0),0)</f>
        <v>Gestión de Recursos Físicos</v>
      </c>
      <c r="D63" s="76">
        <f>+D17</f>
        <v>128</v>
      </c>
      <c r="E63" s="565" t="str">
        <f>+VLOOKUP($D63,bd,MATCH(E$9,bdfila,0),0)</f>
        <v>Tramitar oportunamente las solicitudes de recursos físicos</v>
      </c>
      <c r="F63" s="77" t="str">
        <f>D63&amp;"_V1"</f>
        <v>128_V1</v>
      </c>
      <c r="G63" s="64" t="str">
        <f>+VLOOKUP(D63,bd,MATCH(I63,BD_metas!$A$5:$DB$5,0),0)</f>
        <v>Número de  solicitudes tramitadas oportunamente</v>
      </c>
      <c r="H63" s="78" t="s">
        <v>2030</v>
      </c>
      <c r="I63" s="78" t="s">
        <v>1029</v>
      </c>
      <c r="J63" s="317">
        <v>233</v>
      </c>
      <c r="K63" s="317">
        <v>418</v>
      </c>
      <c r="L63" s="317">
        <v>266</v>
      </c>
      <c r="M63" s="317">
        <v>4</v>
      </c>
      <c r="N63" s="318">
        <v>92</v>
      </c>
      <c r="O63" s="318">
        <v>405</v>
      </c>
    </row>
    <row r="64" spans="2:15" ht="38.25" customHeight="1" x14ac:dyDescent="0.3">
      <c r="B64" s="627"/>
      <c r="C64" s="629"/>
      <c r="D64" s="68">
        <f>+D63</f>
        <v>128</v>
      </c>
      <c r="E64" s="566"/>
      <c r="F64" s="69" t="str">
        <f>D64&amp;"_V2"</f>
        <v>128_V2</v>
      </c>
      <c r="G64" s="70" t="str">
        <f>+VLOOKUP(D64,bd,MATCH(I64,BD_metas!$A$5:$DB$5,0),0)</f>
        <v>Número total de solicitudes recibidas</v>
      </c>
      <c r="H64" s="56" t="s">
        <v>2030</v>
      </c>
      <c r="I64" s="56" t="s">
        <v>1030</v>
      </c>
      <c r="J64" s="258">
        <v>277</v>
      </c>
      <c r="K64" s="258">
        <v>440</v>
      </c>
      <c r="L64" s="258">
        <v>282</v>
      </c>
      <c r="M64" s="258">
        <v>4</v>
      </c>
      <c r="N64" s="259">
        <v>115</v>
      </c>
      <c r="O64" s="318">
        <v>593</v>
      </c>
    </row>
    <row r="65" spans="2:15" ht="98.25" customHeight="1" x14ac:dyDescent="0.3">
      <c r="B65" s="627"/>
      <c r="C65" s="629"/>
      <c r="D65" s="68">
        <f>+D64</f>
        <v>128</v>
      </c>
      <c r="E65" s="566"/>
      <c r="F65" s="69" t="str">
        <f>D64&amp;"_I1"</f>
        <v>128_I1</v>
      </c>
      <c r="G65" s="70" t="s">
        <v>1823</v>
      </c>
      <c r="H65" s="56" t="s">
        <v>2031</v>
      </c>
      <c r="I65" s="56" t="s">
        <v>2032</v>
      </c>
      <c r="J65" s="258" t="s">
        <v>2500</v>
      </c>
      <c r="K65" s="258" t="s">
        <v>2501</v>
      </c>
      <c r="L65" s="258" t="s">
        <v>2502</v>
      </c>
      <c r="M65" s="258" t="s">
        <v>2503</v>
      </c>
      <c r="N65" s="259" t="s">
        <v>2504</v>
      </c>
      <c r="O65" s="259" t="s">
        <v>2505</v>
      </c>
    </row>
    <row r="66" spans="2:15" ht="98.25" customHeight="1" x14ac:dyDescent="0.3">
      <c r="B66" s="627"/>
      <c r="C66" s="629"/>
      <c r="D66" s="68">
        <f>+D65</f>
        <v>128</v>
      </c>
      <c r="E66" s="566"/>
      <c r="F66" s="69" t="str">
        <f>D66&amp;"_I2"</f>
        <v>128_I2</v>
      </c>
      <c r="G66" s="70" t="s">
        <v>1824</v>
      </c>
      <c r="H66" s="56" t="s">
        <v>2031</v>
      </c>
      <c r="I66" s="56" t="s">
        <v>2038</v>
      </c>
      <c r="J66" s="258" t="s">
        <v>2506</v>
      </c>
      <c r="K66" s="258" t="s">
        <v>2507</v>
      </c>
      <c r="L66" s="258" t="s">
        <v>2507</v>
      </c>
      <c r="M66" s="258" t="s">
        <v>2507</v>
      </c>
      <c r="N66" s="259" t="s">
        <v>2506</v>
      </c>
      <c r="O66" s="259" t="s">
        <v>2508</v>
      </c>
    </row>
    <row r="67" spans="2:15" ht="98.25" customHeight="1" thickBot="1" x14ac:dyDescent="0.35">
      <c r="B67" s="630"/>
      <c r="C67" s="596"/>
      <c r="D67" s="72">
        <f>+D66</f>
        <v>128</v>
      </c>
      <c r="E67" s="567"/>
      <c r="F67" s="73" t="str">
        <f>D67&amp;"_I3"</f>
        <v>128_I3</v>
      </c>
      <c r="G67" s="74" t="s">
        <v>1825</v>
      </c>
      <c r="H67" s="57" t="s">
        <v>2031</v>
      </c>
      <c r="I67" s="57" t="s">
        <v>2042</v>
      </c>
      <c r="J67" s="260" t="s">
        <v>2509</v>
      </c>
      <c r="K67" s="260" t="s">
        <v>2507</v>
      </c>
      <c r="L67" s="260" t="s">
        <v>2509</v>
      </c>
      <c r="M67" s="260" t="s">
        <v>2509</v>
      </c>
      <c r="N67" s="261" t="s">
        <v>2509</v>
      </c>
      <c r="O67" s="259" t="s">
        <v>2510</v>
      </c>
    </row>
    <row r="68" spans="2:15" ht="38.25" customHeight="1" thickBot="1" x14ac:dyDescent="0.35">
      <c r="B68" s="626" t="str">
        <f>+VLOOKUP(D68,bd,MATCH("Área o dependencia",bdfila,0),0)</f>
        <v>Subdirección de Servicios Administrativos</v>
      </c>
      <c r="C68" s="628" t="str">
        <f>+VLOOKUP(D68,bd,MATCH("PROCESO: ",bdfila,0),0)</f>
        <v>Gestión de Recursos Físicos</v>
      </c>
      <c r="D68" s="76">
        <f>+D18</f>
        <v>129</v>
      </c>
      <c r="E68" s="565" t="str">
        <f>+VLOOKUP($D68,bd,MATCH(E$9,bdfila,0),0)</f>
        <v>Prestar a satisfacción los servicios de entrega de elementos de consumo</v>
      </c>
      <c r="F68" s="77" t="str">
        <f>D68&amp;"_V1"</f>
        <v>129_V1</v>
      </c>
      <c r="G68" s="64" t="str">
        <f>+VLOOKUP(D68,bd,MATCH(I68,BD_metas!$A$5:$DB$5,0),0)</f>
        <v>Promedio de evaluación de las encuestas de satisfacción de los elementos de consumo entregados</v>
      </c>
      <c r="H68" s="78" t="s">
        <v>2030</v>
      </c>
      <c r="I68" s="78" t="s">
        <v>1029</v>
      </c>
      <c r="J68" s="317">
        <v>100</v>
      </c>
      <c r="K68" s="317">
        <v>100</v>
      </c>
      <c r="L68" s="317">
        <v>100</v>
      </c>
      <c r="M68" s="317">
        <v>100</v>
      </c>
      <c r="N68" s="318">
        <v>100</v>
      </c>
      <c r="O68" s="261">
        <v>100</v>
      </c>
    </row>
    <row r="69" spans="2:15" ht="38.25" customHeight="1" x14ac:dyDescent="0.3">
      <c r="B69" s="627"/>
      <c r="C69" s="629"/>
      <c r="D69" s="68">
        <f>+D68</f>
        <v>129</v>
      </c>
      <c r="E69" s="566"/>
      <c r="F69" s="69" t="str">
        <f>D69&amp;"_V2"</f>
        <v>129_V2</v>
      </c>
      <c r="G69" s="70" t="str">
        <f>+VLOOKUP(D69,bd,MATCH(I69,BD_metas!$A$5:$DB$5,0),0)</f>
        <v>Porcentaje máximo de evaluación de las encuestas de satisfacción de los elementos de consumo entregados</v>
      </c>
      <c r="H69" s="56" t="s">
        <v>2030</v>
      </c>
      <c r="I69" s="56" t="s">
        <v>1030</v>
      </c>
      <c r="J69" s="258">
        <v>100</v>
      </c>
      <c r="K69" s="258">
        <v>100</v>
      </c>
      <c r="L69" s="258">
        <v>100</v>
      </c>
      <c r="M69" s="258">
        <v>100</v>
      </c>
      <c r="N69" s="259">
        <v>100</v>
      </c>
      <c r="O69" s="318">
        <v>100</v>
      </c>
    </row>
    <row r="70" spans="2:15" ht="76.5" customHeight="1" x14ac:dyDescent="0.3">
      <c r="B70" s="627"/>
      <c r="C70" s="629"/>
      <c r="D70" s="68">
        <f>+D69</f>
        <v>129</v>
      </c>
      <c r="E70" s="566"/>
      <c r="F70" s="69" t="str">
        <f>D69&amp;"_I1"</f>
        <v>129_I1</v>
      </c>
      <c r="G70" s="70" t="s">
        <v>1823</v>
      </c>
      <c r="H70" s="56" t="s">
        <v>2031</v>
      </c>
      <c r="I70" s="56" t="s">
        <v>2032</v>
      </c>
      <c r="J70" s="258" t="s">
        <v>2511</v>
      </c>
      <c r="K70" s="258" t="s">
        <v>2511</v>
      </c>
      <c r="L70" s="258" t="s">
        <v>2511</v>
      </c>
      <c r="M70" s="258" t="s">
        <v>2511</v>
      </c>
      <c r="N70" s="259" t="s">
        <v>2511</v>
      </c>
      <c r="O70" s="259" t="s">
        <v>2511</v>
      </c>
    </row>
    <row r="71" spans="2:15" ht="76.5" customHeight="1" x14ac:dyDescent="0.3">
      <c r="B71" s="627"/>
      <c r="C71" s="629"/>
      <c r="D71" s="68">
        <f>+D70</f>
        <v>129</v>
      </c>
      <c r="E71" s="566"/>
      <c r="F71" s="69" t="str">
        <f>D71&amp;"_I2"</f>
        <v>129_I2</v>
      </c>
      <c r="G71" s="70" t="s">
        <v>1824</v>
      </c>
      <c r="H71" s="56" t="s">
        <v>2031</v>
      </c>
      <c r="I71" s="56" t="s">
        <v>2038</v>
      </c>
      <c r="J71" s="258" t="s">
        <v>2507</v>
      </c>
      <c r="K71" s="258" t="s">
        <v>2507</v>
      </c>
      <c r="L71" s="258" t="s">
        <v>2507</v>
      </c>
      <c r="M71" s="258" t="s">
        <v>2507</v>
      </c>
      <c r="N71" s="259" t="s">
        <v>2507</v>
      </c>
      <c r="O71" s="259" t="s">
        <v>2507</v>
      </c>
    </row>
    <row r="72" spans="2:15" ht="76.5" customHeight="1" thickBot="1" x14ac:dyDescent="0.35">
      <c r="B72" s="630"/>
      <c r="C72" s="596"/>
      <c r="D72" s="72">
        <f>+D71</f>
        <v>129</v>
      </c>
      <c r="E72" s="567"/>
      <c r="F72" s="73" t="str">
        <f>D72&amp;"_I3"</f>
        <v>129_I3</v>
      </c>
      <c r="G72" s="74" t="s">
        <v>1825</v>
      </c>
      <c r="H72" s="57" t="s">
        <v>2031</v>
      </c>
      <c r="I72" s="57" t="s">
        <v>2042</v>
      </c>
      <c r="J72" s="260" t="s">
        <v>2512</v>
      </c>
      <c r="K72" s="260" t="s">
        <v>2512</v>
      </c>
      <c r="L72" s="260" t="s">
        <v>2512</v>
      </c>
      <c r="M72" s="260" t="s">
        <v>2512</v>
      </c>
      <c r="N72" s="261" t="s">
        <v>2512</v>
      </c>
      <c r="O72" s="259" t="s">
        <v>2512</v>
      </c>
    </row>
    <row r="73" spans="2:15" ht="38.25" hidden="1" customHeight="1" x14ac:dyDescent="0.3">
      <c r="B73" s="626" t="str">
        <f>+VLOOKUP(D73,bd,MATCH("Área o dependencia",bdfila,0),0)</f>
        <v>Subdirección Financiera</v>
      </c>
      <c r="C73" s="628" t="str">
        <f>+VLOOKUP(D73,bd,MATCH("PROCESO: ",bdfila,0),0)</f>
        <v>No Aplica</v>
      </c>
      <c r="D73" s="76" t="str">
        <f>+D19</f>
        <v>121 (SS)</v>
      </c>
      <c r="E73" s="565" t="str">
        <f>+VLOOKUP($D73,bd,MATCH(E$9,bdfila,0),0)</f>
        <v xml:space="preserve">Realizar jornadas de capacitación en programación y ejecución de recursos </v>
      </c>
      <c r="F73" s="77" t="str">
        <f>D73&amp;"_V1"</f>
        <v>121 (SS)_V1</v>
      </c>
      <c r="G73" s="64" t="str">
        <f>+VLOOKUP(D73,bd,MATCH(I73,BD_metas!$A$5:$DB$5,0),0)</f>
        <v>Sumatoria módulos de capacitación realizadas</v>
      </c>
      <c r="H73" s="78" t="s">
        <v>2030</v>
      </c>
      <c r="I73" s="78" t="s">
        <v>1029</v>
      </c>
      <c r="J73" s="317"/>
      <c r="K73" s="317"/>
      <c r="L73" s="317"/>
      <c r="M73" s="317"/>
      <c r="N73" s="318"/>
      <c r="O73" s="67"/>
    </row>
    <row r="74" spans="2:15" ht="38.25" hidden="1" customHeight="1" x14ac:dyDescent="0.3">
      <c r="B74" s="627"/>
      <c r="C74" s="629"/>
      <c r="D74" s="68" t="str">
        <f>+D73</f>
        <v>121 (SS)</v>
      </c>
      <c r="E74" s="566"/>
      <c r="F74" s="69" t="str">
        <f>D74&amp;"_V2"</f>
        <v>121 (SS)_V2</v>
      </c>
      <c r="G74" s="70">
        <f>+VLOOKUP(D74,bd,MATCH(I74,BD_metas!$A$5:$DB$5,0),0)</f>
        <v>0</v>
      </c>
      <c r="H74" s="56" t="s">
        <v>2030</v>
      </c>
      <c r="I74" s="56" t="s">
        <v>1030</v>
      </c>
      <c r="J74" s="258"/>
      <c r="K74" s="258"/>
      <c r="L74" s="258"/>
      <c r="M74" s="258"/>
      <c r="N74" s="259"/>
      <c r="O74" s="71"/>
    </row>
    <row r="75" spans="2:15" ht="42" hidden="1" thickBot="1" x14ac:dyDescent="0.35">
      <c r="B75" s="627"/>
      <c r="C75" s="629"/>
      <c r="D75" s="68" t="str">
        <f>+D74</f>
        <v>121 (SS)</v>
      </c>
      <c r="E75" s="566"/>
      <c r="F75" s="69" t="str">
        <f>D74&amp;"_I1"</f>
        <v>121 (SS)_I1</v>
      </c>
      <c r="G75" s="70" t="s">
        <v>1823</v>
      </c>
      <c r="H75" s="56" t="s">
        <v>2031</v>
      </c>
      <c r="I75" s="56" t="s">
        <v>2032</v>
      </c>
      <c r="J75" s="258"/>
      <c r="K75" s="258"/>
      <c r="L75" s="258"/>
      <c r="M75" s="258"/>
      <c r="N75" s="259"/>
      <c r="O75" s="71"/>
    </row>
    <row r="76" spans="2:15" ht="55.8" hidden="1" thickBot="1" x14ac:dyDescent="0.35">
      <c r="B76" s="627"/>
      <c r="C76" s="629"/>
      <c r="D76" s="68" t="str">
        <f>+D75</f>
        <v>121 (SS)</v>
      </c>
      <c r="E76" s="566"/>
      <c r="F76" s="69" t="str">
        <f>D76&amp;"_I2"</f>
        <v>121 (SS)_I2</v>
      </c>
      <c r="G76" s="70" t="s">
        <v>1824</v>
      </c>
      <c r="H76" s="56" t="s">
        <v>2031</v>
      </c>
      <c r="I76" s="56" t="s">
        <v>2038</v>
      </c>
      <c r="J76" s="258"/>
      <c r="K76" s="258"/>
      <c r="L76" s="258"/>
      <c r="M76" s="258"/>
      <c r="N76" s="259"/>
      <c r="O76" s="71"/>
    </row>
    <row r="77" spans="2:15" ht="55.8" hidden="1" thickBot="1" x14ac:dyDescent="0.35">
      <c r="B77" s="630"/>
      <c r="C77" s="596"/>
      <c r="D77" s="72" t="str">
        <f>+D76</f>
        <v>121 (SS)</v>
      </c>
      <c r="E77" s="567"/>
      <c r="F77" s="73" t="str">
        <f>D77&amp;"_I3"</f>
        <v>121 (SS)_I3</v>
      </c>
      <c r="G77" s="74" t="s">
        <v>1825</v>
      </c>
      <c r="H77" s="57" t="s">
        <v>2031</v>
      </c>
      <c r="I77" s="57" t="s">
        <v>2042</v>
      </c>
      <c r="J77" s="260"/>
      <c r="K77" s="260"/>
      <c r="L77" s="260"/>
      <c r="M77" s="260"/>
      <c r="N77" s="261"/>
      <c r="O77" s="75"/>
    </row>
    <row r="78" spans="2:15" ht="38.25" customHeight="1" x14ac:dyDescent="0.3">
      <c r="B78" s="626" t="str">
        <f>+VLOOKUP(D78,bd,MATCH("Área o dependencia",bdfila,0),0)</f>
        <v>Subdirección Financiera</v>
      </c>
      <c r="C78" s="628" t="str">
        <f>+VLOOKUP(D78,bd,MATCH("PROCESO: ",bdfila,0),0)</f>
        <v>Gestión Financiera</v>
      </c>
      <c r="D78" s="76">
        <f>+D20</f>
        <v>122</v>
      </c>
      <c r="E78" s="565" t="str">
        <f>+VLOOKUP($D78,bd,MATCH(E$9,bdfila,0),0)</f>
        <v>Generar lineamientos técnicos para la programación, priorización, ejecución y seguimiento de recursos financieros</v>
      </c>
      <c r="F78" s="77" t="str">
        <f>D78&amp;"_V1"</f>
        <v>122_V1</v>
      </c>
      <c r="G78" s="64" t="str">
        <f>+VLOOKUP(D78,bd,MATCH(I78,BD_metas!$A$5:$DB$5,0),0)</f>
        <v>Sumatoria de documentos de lineamientos frente a programación y ejecución de recursos socializados</v>
      </c>
      <c r="H78" s="78" t="s">
        <v>2030</v>
      </c>
      <c r="I78" s="78" t="s">
        <v>1029</v>
      </c>
      <c r="J78" s="317">
        <v>1</v>
      </c>
      <c r="K78" s="317">
        <v>0</v>
      </c>
      <c r="L78" s="317">
        <v>0</v>
      </c>
      <c r="M78" s="317">
        <v>1</v>
      </c>
      <c r="N78" s="318">
        <v>0</v>
      </c>
      <c r="O78" s="318">
        <v>0</v>
      </c>
    </row>
    <row r="79" spans="2:15" ht="38.25" customHeight="1" x14ac:dyDescent="0.3">
      <c r="B79" s="627"/>
      <c r="C79" s="629"/>
      <c r="D79" s="68">
        <f>+D78</f>
        <v>122</v>
      </c>
      <c r="E79" s="566"/>
      <c r="F79" s="69" t="str">
        <f>D79&amp;"_V2"</f>
        <v>122_V2</v>
      </c>
      <c r="G79" s="70">
        <f>+VLOOKUP(D79,bd,MATCH(I79,BD_metas!$A$5:$DB$5,0),0)</f>
        <v>0</v>
      </c>
      <c r="H79" s="56" t="s">
        <v>2030</v>
      </c>
      <c r="I79" s="56" t="s">
        <v>1030</v>
      </c>
      <c r="J79" s="258">
        <v>0</v>
      </c>
      <c r="K79" s="258">
        <v>0</v>
      </c>
      <c r="L79" s="258">
        <v>0</v>
      </c>
      <c r="M79" s="258">
        <v>0</v>
      </c>
      <c r="N79" s="259">
        <v>0</v>
      </c>
      <c r="O79" s="259">
        <v>0</v>
      </c>
    </row>
    <row r="80" spans="2:15" ht="78" customHeight="1" x14ac:dyDescent="0.3">
      <c r="B80" s="627"/>
      <c r="C80" s="629"/>
      <c r="D80" s="68">
        <f>+D79</f>
        <v>122</v>
      </c>
      <c r="E80" s="566"/>
      <c r="F80" s="69" t="str">
        <f>D79&amp;"_I1"</f>
        <v>122_I1</v>
      </c>
      <c r="G80" s="70" t="s">
        <v>1823</v>
      </c>
      <c r="H80" s="56" t="s">
        <v>2031</v>
      </c>
      <c r="I80" s="56" t="s">
        <v>2032</v>
      </c>
      <c r="J80" s="258" t="s">
        <v>2513</v>
      </c>
      <c r="K80" s="258" t="s">
        <v>2496</v>
      </c>
      <c r="L80" s="258" t="s">
        <v>2496</v>
      </c>
      <c r="M80" s="258" t="s">
        <v>2514</v>
      </c>
      <c r="N80" s="259" t="s">
        <v>2496</v>
      </c>
      <c r="O80" s="259" t="s">
        <v>2496</v>
      </c>
    </row>
    <row r="81" spans="2:15" ht="78" customHeight="1" x14ac:dyDescent="0.3">
      <c r="B81" s="627"/>
      <c r="C81" s="629"/>
      <c r="D81" s="68">
        <f>+D80</f>
        <v>122</v>
      </c>
      <c r="E81" s="566"/>
      <c r="F81" s="69" t="str">
        <f>D81&amp;"_I2"</f>
        <v>122_I2</v>
      </c>
      <c r="G81" s="70" t="s">
        <v>1824</v>
      </c>
      <c r="H81" s="56" t="s">
        <v>2031</v>
      </c>
      <c r="I81" s="56" t="s">
        <v>2038</v>
      </c>
      <c r="J81" s="258" t="s">
        <v>2496</v>
      </c>
      <c r="K81" s="258" t="s">
        <v>2496</v>
      </c>
      <c r="L81" s="258" t="s">
        <v>2496</v>
      </c>
      <c r="M81" s="258" t="s">
        <v>2496</v>
      </c>
      <c r="N81" s="259" t="s">
        <v>2496</v>
      </c>
      <c r="O81" s="259" t="s">
        <v>2496</v>
      </c>
    </row>
    <row r="82" spans="2:15" ht="78" customHeight="1" thickBot="1" x14ac:dyDescent="0.35">
      <c r="B82" s="630"/>
      <c r="C82" s="596"/>
      <c r="D82" s="72">
        <f>+D81</f>
        <v>122</v>
      </c>
      <c r="E82" s="567"/>
      <c r="F82" s="73" t="str">
        <f>D82&amp;"_I3"</f>
        <v>122_I3</v>
      </c>
      <c r="G82" s="74" t="s">
        <v>1825</v>
      </c>
      <c r="H82" s="57" t="s">
        <v>2031</v>
      </c>
      <c r="I82" s="57" t="s">
        <v>2042</v>
      </c>
      <c r="J82" s="260" t="s">
        <v>2515</v>
      </c>
      <c r="K82" s="260" t="s">
        <v>2496</v>
      </c>
      <c r="L82" s="260" t="s">
        <v>2496</v>
      </c>
      <c r="M82" s="260" t="s">
        <v>2516</v>
      </c>
      <c r="N82" s="261" t="s">
        <v>2496</v>
      </c>
      <c r="O82" s="261" t="s">
        <v>2496</v>
      </c>
    </row>
    <row r="83" spans="2:15" ht="38.25" customHeight="1" x14ac:dyDescent="0.3">
      <c r="B83" s="626" t="str">
        <f>+VLOOKUP(D83,bd,MATCH("Área o dependencia",bdfila,0),0)</f>
        <v>Subdirección Financiera</v>
      </c>
      <c r="C83" s="628" t="str">
        <f>+VLOOKUP(D83,bd,MATCH("PROCESO: ",bdfila,0),0)</f>
        <v>Gestión Financiera</v>
      </c>
      <c r="D83" s="76">
        <f>+D21</f>
        <v>124</v>
      </c>
      <c r="E83" s="565" t="str">
        <f>+VLOOKUP($D83,bd,MATCH(E$9,bdfila,0),0)</f>
        <v>Realizar eficientemente la gestión de pagos</v>
      </c>
      <c r="F83" s="77" t="str">
        <f>D83&amp;"_V1"</f>
        <v>124_V1</v>
      </c>
      <c r="G83" s="64" t="str">
        <f>+VLOOKUP(D83,bd,MATCH(I83,BD_metas!$A$5:$DB$5,0),0)</f>
        <v xml:space="preserve">Días promedio para gestionar integralmente las solicitudes de pagos recibidas </v>
      </c>
      <c r="H83" s="78" t="s">
        <v>2030</v>
      </c>
      <c r="I83" s="78" t="s">
        <v>1029</v>
      </c>
      <c r="J83" s="66">
        <v>9.3800000000000008</v>
      </c>
      <c r="K83" s="66">
        <v>3.1</v>
      </c>
      <c r="L83" s="66">
        <v>3.41</v>
      </c>
      <c r="M83" s="66">
        <v>3.02</v>
      </c>
      <c r="N83" s="191">
        <v>4.53</v>
      </c>
      <c r="O83" s="191">
        <v>2.3199999999999998</v>
      </c>
    </row>
    <row r="84" spans="2:15" ht="38.25" customHeight="1" x14ac:dyDescent="0.3">
      <c r="B84" s="627"/>
      <c r="C84" s="629"/>
      <c r="D84" s="68">
        <f>+D83</f>
        <v>124</v>
      </c>
      <c r="E84" s="566"/>
      <c r="F84" s="69" t="str">
        <f>D84&amp;"_V2"</f>
        <v>124_V2</v>
      </c>
      <c r="G84" s="70">
        <f>+VLOOKUP(D84,bd,MATCH(I84,BD_metas!$A$5:$DB$5,0),0)</f>
        <v>0</v>
      </c>
      <c r="H84" s="56" t="s">
        <v>2030</v>
      </c>
      <c r="I84" s="56" t="s">
        <v>1030</v>
      </c>
      <c r="J84" s="50">
        <v>0</v>
      </c>
      <c r="K84" s="50">
        <v>0</v>
      </c>
      <c r="L84" s="50">
        <v>0</v>
      </c>
      <c r="M84" s="50">
        <v>0</v>
      </c>
      <c r="N84" s="192">
        <v>0</v>
      </c>
      <c r="O84" s="192">
        <v>0</v>
      </c>
    </row>
    <row r="85" spans="2:15" ht="100.8" x14ac:dyDescent="0.3">
      <c r="B85" s="627"/>
      <c r="C85" s="629"/>
      <c r="D85" s="68">
        <f>+D84</f>
        <v>124</v>
      </c>
      <c r="E85" s="566"/>
      <c r="F85" s="69" t="str">
        <f>D84&amp;"_I1"</f>
        <v>124_I1</v>
      </c>
      <c r="G85" s="70" t="s">
        <v>1823</v>
      </c>
      <c r="H85" s="56" t="s">
        <v>2031</v>
      </c>
      <c r="I85" s="56" t="s">
        <v>2032</v>
      </c>
      <c r="J85" s="258" t="s">
        <v>2517</v>
      </c>
      <c r="K85" s="258" t="s">
        <v>2518</v>
      </c>
      <c r="L85" s="258" t="s">
        <v>2518</v>
      </c>
      <c r="M85" s="258" t="s">
        <v>2518</v>
      </c>
      <c r="N85" s="259" t="s">
        <v>2518</v>
      </c>
      <c r="O85" s="259" t="s">
        <v>2518</v>
      </c>
    </row>
    <row r="86" spans="2:15" ht="88.5" customHeight="1" x14ac:dyDescent="0.3">
      <c r="B86" s="627"/>
      <c r="C86" s="629"/>
      <c r="D86" s="68">
        <f>+D85</f>
        <v>124</v>
      </c>
      <c r="E86" s="566"/>
      <c r="F86" s="69" t="str">
        <f>D86&amp;"_I2"</f>
        <v>124_I2</v>
      </c>
      <c r="G86" s="70" t="s">
        <v>1824</v>
      </c>
      <c r="H86" s="56" t="s">
        <v>2031</v>
      </c>
      <c r="I86" s="56" t="s">
        <v>2038</v>
      </c>
      <c r="J86" s="258" t="s">
        <v>2519</v>
      </c>
      <c r="K86" s="258" t="s">
        <v>2496</v>
      </c>
      <c r="L86" s="258" t="s">
        <v>2496</v>
      </c>
      <c r="M86" s="258" t="s">
        <v>2496</v>
      </c>
      <c r="N86" s="259" t="s">
        <v>2496</v>
      </c>
      <c r="O86" s="259" t="s">
        <v>2496</v>
      </c>
    </row>
    <row r="87" spans="2:15" ht="105.75" customHeight="1" thickBot="1" x14ac:dyDescent="0.35">
      <c r="B87" s="630"/>
      <c r="C87" s="596"/>
      <c r="D87" s="72">
        <f>+D86</f>
        <v>124</v>
      </c>
      <c r="E87" s="567"/>
      <c r="F87" s="73" t="str">
        <f>D87&amp;"_I3"</f>
        <v>124_I3</v>
      </c>
      <c r="G87" s="74" t="s">
        <v>1825</v>
      </c>
      <c r="H87" s="57" t="s">
        <v>2031</v>
      </c>
      <c r="I87" s="57" t="s">
        <v>2042</v>
      </c>
      <c r="J87" s="260" t="s">
        <v>2520</v>
      </c>
      <c r="K87" s="260" t="s">
        <v>2521</v>
      </c>
      <c r="L87" s="260" t="s">
        <v>2522</v>
      </c>
      <c r="M87" s="260" t="s">
        <v>2522</v>
      </c>
      <c r="N87" s="261" t="s">
        <v>2522</v>
      </c>
      <c r="O87" s="261" t="s">
        <v>2523</v>
      </c>
    </row>
    <row r="88" spans="2:15" ht="38.25" customHeight="1" x14ac:dyDescent="0.3">
      <c r="B88" s="626" t="str">
        <f>+VLOOKUP(D88,bd,MATCH("Área o dependencia",bdfila,0),0)</f>
        <v>Subdirección Financiera</v>
      </c>
      <c r="C88" s="628" t="str">
        <f>+VLOOKUP(D88,bd,MATCH("PROCESO: ",bdfila,0),0)</f>
        <v>Gestión Financiera</v>
      </c>
      <c r="D88" s="76">
        <f>+D22</f>
        <v>125</v>
      </c>
      <c r="E88" s="565" t="str">
        <f>+VLOOKUP($D88,bd,MATCH(E$9,bdfila,0),0)</f>
        <v>Elaborar los documentos de Seguimiento a la ejecución presupuestal vigencia, reserva y pasivos exigibles y al componente PAC.</v>
      </c>
      <c r="F88" s="77" t="str">
        <f>D88&amp;"_V1"</f>
        <v>125_V1</v>
      </c>
      <c r="G88" s="64" t="str">
        <f>+VLOOKUP(D88,bd,MATCH(I88,BD_metas!$A$5:$DB$5,0),0)</f>
        <v>Sumatoria de documentos de Seguimiento a la ejecución presupuestal vigencia, reserva y pasivos exigibles y al componente PAC.</v>
      </c>
      <c r="H88" s="78" t="s">
        <v>2030</v>
      </c>
      <c r="I88" s="78" t="s">
        <v>1029</v>
      </c>
      <c r="J88" s="317">
        <v>0</v>
      </c>
      <c r="K88" s="317">
        <v>0</v>
      </c>
      <c r="L88" s="317">
        <v>1</v>
      </c>
      <c r="M88" s="317">
        <v>1</v>
      </c>
      <c r="N88" s="318">
        <v>1</v>
      </c>
      <c r="O88" s="318">
        <v>1</v>
      </c>
    </row>
    <row r="89" spans="2:15" ht="38.25" customHeight="1" x14ac:dyDescent="0.3">
      <c r="B89" s="627"/>
      <c r="C89" s="629"/>
      <c r="D89" s="68">
        <f>+D88</f>
        <v>125</v>
      </c>
      <c r="E89" s="566"/>
      <c r="F89" s="69" t="str">
        <f>D89&amp;"_V2"</f>
        <v>125_V2</v>
      </c>
      <c r="G89" s="70">
        <f>+VLOOKUP(D89,bd,MATCH(I89,BD_metas!$A$5:$DB$5,0),0)</f>
        <v>0</v>
      </c>
      <c r="H89" s="56" t="s">
        <v>2030</v>
      </c>
      <c r="I89" s="56" t="s">
        <v>1030</v>
      </c>
      <c r="J89" s="258">
        <v>0</v>
      </c>
      <c r="K89" s="258">
        <v>0</v>
      </c>
      <c r="L89" s="258">
        <v>0</v>
      </c>
      <c r="M89" s="258">
        <v>0</v>
      </c>
      <c r="N89" s="259">
        <v>0</v>
      </c>
      <c r="O89" s="259">
        <v>0</v>
      </c>
    </row>
    <row r="90" spans="2:15" ht="218.25" customHeight="1" x14ac:dyDescent="0.3">
      <c r="B90" s="627"/>
      <c r="C90" s="629"/>
      <c r="D90" s="68">
        <f>+D89</f>
        <v>125</v>
      </c>
      <c r="E90" s="566"/>
      <c r="F90" s="69" t="str">
        <f>D89&amp;"_I1"</f>
        <v>125_I1</v>
      </c>
      <c r="G90" s="70" t="s">
        <v>1823</v>
      </c>
      <c r="H90" s="56" t="s">
        <v>2031</v>
      </c>
      <c r="I90" s="56" t="s">
        <v>2032</v>
      </c>
      <c r="J90" s="258" t="s">
        <v>2496</v>
      </c>
      <c r="K90" s="258" t="s">
        <v>2496</v>
      </c>
      <c r="L90" s="258" t="s">
        <v>2524</v>
      </c>
      <c r="M90" s="258" t="s">
        <v>2525</v>
      </c>
      <c r="N90" s="259" t="s">
        <v>2526</v>
      </c>
      <c r="O90" s="259" t="s">
        <v>2527</v>
      </c>
    </row>
    <row r="91" spans="2:15" ht="55.2" x14ac:dyDescent="0.3">
      <c r="B91" s="627"/>
      <c r="C91" s="629"/>
      <c r="D91" s="68">
        <f>+D90</f>
        <v>125</v>
      </c>
      <c r="E91" s="566"/>
      <c r="F91" s="69" t="str">
        <f>D91&amp;"_I2"</f>
        <v>125_I2</v>
      </c>
      <c r="G91" s="70" t="s">
        <v>1824</v>
      </c>
      <c r="H91" s="56" t="s">
        <v>2031</v>
      </c>
      <c r="I91" s="56" t="s">
        <v>2038</v>
      </c>
      <c r="J91" s="258" t="s">
        <v>2496</v>
      </c>
      <c r="K91" s="258" t="s">
        <v>2496</v>
      </c>
      <c r="L91" s="258" t="s">
        <v>2496</v>
      </c>
      <c r="M91" s="258" t="s">
        <v>2496</v>
      </c>
      <c r="N91" s="259" t="s">
        <v>2496</v>
      </c>
      <c r="O91" s="259" t="s">
        <v>2496</v>
      </c>
    </row>
    <row r="92" spans="2:15" ht="123.75" customHeight="1" thickBot="1" x14ac:dyDescent="0.35">
      <c r="B92" s="627"/>
      <c r="C92" s="629"/>
      <c r="D92" s="68">
        <f>+D91</f>
        <v>125</v>
      </c>
      <c r="E92" s="619"/>
      <c r="F92" s="202" t="str">
        <f>D92&amp;"_I3"</f>
        <v>125_I3</v>
      </c>
      <c r="G92" s="203" t="s">
        <v>1825</v>
      </c>
      <c r="H92" s="204" t="s">
        <v>2031</v>
      </c>
      <c r="I92" s="204" t="s">
        <v>2042</v>
      </c>
      <c r="J92" s="319" t="s">
        <v>2496</v>
      </c>
      <c r="K92" s="319" t="s">
        <v>2496</v>
      </c>
      <c r="L92" s="319" t="s">
        <v>2528</v>
      </c>
      <c r="M92" s="319" t="s">
        <v>2528</v>
      </c>
      <c r="N92" s="320" t="s">
        <v>2528</v>
      </c>
      <c r="O92" s="320" t="s">
        <v>2528</v>
      </c>
    </row>
    <row r="93" spans="2:15" ht="38.25" customHeight="1" x14ac:dyDescent="0.3">
      <c r="B93" s="626" t="str">
        <f>+VLOOKUP(D93,bd,MATCH("Área o dependencia",bdfila,0),0)</f>
        <v>Subdirección Financiera</v>
      </c>
      <c r="C93" s="628" t="str">
        <f>+VLOOKUP(D93,bd,MATCH("PROCESO: ",bdfila,0),0)</f>
        <v>Gestión Financiera</v>
      </c>
      <c r="D93" s="62" t="str">
        <f>+D23</f>
        <v>125A</v>
      </c>
      <c r="E93" s="573" t="str">
        <f>+VLOOKUP($D93,bd,MATCH(E$9,bdfila,0),0)</f>
        <v>Presentar oportunamente los estados financieros de la entidad ante la Dirección Distrital de Contabilidad</v>
      </c>
      <c r="F93" s="63" t="str">
        <f>D93&amp;"_V1"</f>
        <v>125A_V1</v>
      </c>
      <c r="G93" s="64" t="str">
        <f>+VLOOKUP(D93,bd,MATCH(I93,BD_metas!$A$5:$DB$5,0),0)</f>
        <v xml:space="preserve">Número de estados financieros de la entidad, presentados oportunamente, ante la Dirección Distrital de Contabilidad </v>
      </c>
      <c r="H93" s="65" t="s">
        <v>2030</v>
      </c>
      <c r="I93" s="65" t="s">
        <v>1029</v>
      </c>
      <c r="J93" s="66">
        <v>0</v>
      </c>
      <c r="K93" s="66">
        <v>0</v>
      </c>
      <c r="L93" s="66">
        <v>0</v>
      </c>
      <c r="M93" s="66">
        <v>1</v>
      </c>
      <c r="N93" s="191">
        <v>0</v>
      </c>
      <c r="O93" s="191">
        <v>0</v>
      </c>
    </row>
    <row r="94" spans="2:15" ht="38.25" customHeight="1" x14ac:dyDescent="0.3">
      <c r="B94" s="627"/>
      <c r="C94" s="629"/>
      <c r="D94" s="68" t="str">
        <f>+D93</f>
        <v>125A</v>
      </c>
      <c r="E94" s="566"/>
      <c r="F94" s="69" t="str">
        <f>D94&amp;"_V2"</f>
        <v>125A_V2</v>
      </c>
      <c r="G94" s="70">
        <f>+VLOOKUP(D94,bd,MATCH(I94,BD_metas!$A$5:$DB$5,0),0)</f>
        <v>0</v>
      </c>
      <c r="H94" s="56" t="s">
        <v>2030</v>
      </c>
      <c r="I94" s="56" t="s">
        <v>1030</v>
      </c>
      <c r="J94" s="50">
        <v>0</v>
      </c>
      <c r="K94" s="50">
        <v>0</v>
      </c>
      <c r="L94" s="50">
        <v>0</v>
      </c>
      <c r="M94" s="50">
        <v>0</v>
      </c>
      <c r="N94" s="192">
        <v>0</v>
      </c>
      <c r="O94" s="192">
        <v>0</v>
      </c>
    </row>
    <row r="95" spans="2:15" ht="81.75" customHeight="1" x14ac:dyDescent="0.3">
      <c r="B95" s="627"/>
      <c r="C95" s="629"/>
      <c r="D95" s="68" t="str">
        <f>+D94</f>
        <v>125A</v>
      </c>
      <c r="E95" s="566"/>
      <c r="F95" s="69" t="str">
        <f>D94&amp;"_I1"</f>
        <v>125A_I1</v>
      </c>
      <c r="G95" s="70" t="s">
        <v>1823</v>
      </c>
      <c r="H95" s="56" t="s">
        <v>2031</v>
      </c>
      <c r="I95" s="56" t="s">
        <v>2032</v>
      </c>
      <c r="J95" s="50" t="s">
        <v>2496</v>
      </c>
      <c r="K95" s="50" t="s">
        <v>2496</v>
      </c>
      <c r="L95" s="50" t="s">
        <v>2496</v>
      </c>
      <c r="M95" s="258" t="s">
        <v>2529</v>
      </c>
      <c r="N95" s="192" t="s">
        <v>2496</v>
      </c>
      <c r="O95" s="192" t="s">
        <v>2496</v>
      </c>
    </row>
    <row r="96" spans="2:15" ht="55.2" x14ac:dyDescent="0.3">
      <c r="B96" s="627"/>
      <c r="C96" s="629"/>
      <c r="D96" s="68" t="str">
        <f>+D95</f>
        <v>125A</v>
      </c>
      <c r="E96" s="566"/>
      <c r="F96" s="69" t="str">
        <f>D96&amp;"_I2"</f>
        <v>125A_I2</v>
      </c>
      <c r="G96" s="70" t="s">
        <v>1824</v>
      </c>
      <c r="H96" s="56" t="s">
        <v>2031</v>
      </c>
      <c r="I96" s="56" t="s">
        <v>2038</v>
      </c>
      <c r="J96" s="50" t="s">
        <v>2496</v>
      </c>
      <c r="K96" s="50" t="s">
        <v>2496</v>
      </c>
      <c r="L96" s="50" t="s">
        <v>2496</v>
      </c>
      <c r="M96" s="258" t="s">
        <v>2496</v>
      </c>
      <c r="N96" s="192" t="s">
        <v>2496</v>
      </c>
      <c r="O96" s="192" t="s">
        <v>2496</v>
      </c>
    </row>
    <row r="97" spans="2:15" ht="70.5" customHeight="1" thickBot="1" x14ac:dyDescent="0.35">
      <c r="B97" s="630"/>
      <c r="C97" s="596"/>
      <c r="D97" s="72" t="str">
        <f>+D96</f>
        <v>125A</v>
      </c>
      <c r="E97" s="567"/>
      <c r="F97" s="73" t="str">
        <f>D97&amp;"_I3"</f>
        <v>125A_I3</v>
      </c>
      <c r="G97" s="74" t="s">
        <v>1825</v>
      </c>
      <c r="H97" s="57" t="s">
        <v>2031</v>
      </c>
      <c r="I97" s="57" t="s">
        <v>2042</v>
      </c>
      <c r="J97" s="53" t="s">
        <v>2496</v>
      </c>
      <c r="K97" s="53" t="s">
        <v>2496</v>
      </c>
      <c r="L97" s="53" t="s">
        <v>2496</v>
      </c>
      <c r="M97" s="260" t="s">
        <v>2530</v>
      </c>
      <c r="N97" s="193" t="s">
        <v>2496</v>
      </c>
      <c r="O97" s="193" t="s">
        <v>2496</v>
      </c>
    </row>
  </sheetData>
  <sheetProtection algorithmName="SHA-512" hashValue="5CJgff7OBvIIjo94gVpwxuDPSLkWc4MbH/Ep8V53zB6WEeqmKk8XaTe1qyp+pVL+3KlGDjuVVB7okfBAwpa2QA==" saltValue="RZVDlDI9SfqcVegIxZkBQQ==" spinCount="100000" sheet="1" formatColumns="0" formatRows="0"/>
  <protectedRanges>
    <protectedRange algorithmName="SHA-512" hashValue="kuPMFNiHS+P4TikrgGF1zWkJUNyUeG5XZWasxbEwJGZvuGY2LvFIF9FLoD2JaI8/WpVTyswPDX39RfwPQFLBkw==" saltValue="X049yVDTrGU7yaO/XiRYvA==" spinCount="100000" sqref="O78:O97" name="financiera r2"/>
    <protectedRange algorithmName="SHA-512" hashValue="fqXRAo104maQQxt6vCTMh+KJnIfsUPVAeI+6tvVBwX8ZzoAixxAgCfo+QJi8NgsKIaq56g3EQ0ngpD9EEzygmg==" saltValue="X7ZPLLF6a67l1rKQAFMFUQ==" spinCount="100000" sqref="O58:O62" name="documental r2"/>
    <protectedRange algorithmName="SHA-512" hashValue="m2Fa4HaWV68Kxc14AxN+Bbv4JVmkrS9u6P0Hic6IANJ1R3q1kQmPCgwlhMQpTntxJwyCk/imrGIp2qqq2pJrIQ==" saltValue="Sacy8NxlDTMl3rMnUgJa2Q==" spinCount="100000" sqref="O38:O42" name="gth r2"/>
    <protectedRange algorithmName="SHA-512" hashValue="yft6t6MyFe5tzOD2Xs3D/wIyIhKXxiplp0wr0NJxMP3v/a4G2HeeMClHFul8IhJBKbqP4P4ODw0rtoAtsj4fjQ==" saltValue="2Pfurrh9uqBDyZmu6iq/rQ==" spinCount="100000" sqref="O28:O32" name="contratos r2"/>
    <protectedRange algorithmName="SHA-512" hashValue="r3JRFiNY4+1vGheWd6hFzyS5VQpxCssFTcl1OiyWs6ZTcEbJ2O2/hR2MspvJ3KgDLbpn5GajBCEmVQZ+NvH9NA==" saltValue="oIQgu2ZudbHfQXRRRLVmKw==" spinCount="100000" sqref="J17:O18 Q17:Q18 S17:V18 J63:N72" name="fisicos r1"/>
    <protectedRange algorithmName="SHA-512" hashValue="tED7l9+PCJlCGQWJYLuxTDMlEQUP1YSwRgW3+oUUv6lGEi55EZjh4L7n5gZO1BgmbnJ2QH8JTI/a2E71m0MGpw==" saltValue="xU/D7Y7lXEzSYgKPl7+C4Q==" spinCount="100000" sqref="J13:O15 Q13:Q15 S13:V15 J43:N57" name="gsa r1"/>
    <protectedRange algorithmName="SHA-512" hashValue="XC01FjjORIoClH7R0yyhljY9fxj4VE3sVtq+DPpmiFnFN76n1tjQwI+jtplfl9koLGP1CZbChiik9FsL8/4ZHw==" saltValue="bKFTpPpoZzP1tAaM3UhSpQ==" spinCount="100000" sqref="J11:O11 Q11 S11:V11 J33:N37" name="sst r1"/>
    <protectedRange algorithmName="SHA-512" hashValue="NWVJX2MBXo8b0XYW/VoMtZmeJ7bF/csV1MXEckXYuBqpGLb5kdTbyh4Nr/TmIyEGzXOI+u0DY7qvYu8BTykq/g==" saltValue="3umJBLGflxPev5BLBsGibA==" spinCount="100000" sqref="J10:O10 Q10 S10:V10 J28:N32" name="contratos r1"/>
    <protectedRange algorithmName="SHA-512" hashValue="NFsYVi0wNKUXNGQulBMQ+seeuow4PWV+8wxukA1DzhNbFIWqME9ApjArNYtTfhz9tMJNVV/ad7OPCZy1GzcgOQ==" saltValue="ruzJ0P871fqzxPtCC0vZIA==" spinCount="100000" sqref="J12:O12 Q12 S12:V12 J38:N42" name="gth r1"/>
    <protectedRange algorithmName="SHA-512" hashValue="GlBwOMoSOvk6raXgaJ19NHV71w/p2dvzyDJQapfzDxNbWC8Pe4zGc7gLbllpAXVKDt5whrNpuMB1wIvLoOJJyQ==" saltValue="hWdsxgY1RtxyaT0mHxeOiQ==" spinCount="100000" sqref="J16:O16 Q16 S16:V16 J58:N62" name="documental r1"/>
    <protectedRange algorithmName="SHA-512" hashValue="QyXyPiezwJA7k921hlizfZ5x/wBbbZHDrOXA/J97KVZUKOMPsTWrUTa6AP6wLLTs6XjPHnI7+N0Vbm9VedhKgw==" saltValue="w25p+O3Fqy7XOjaYWZ7ThA==" spinCount="100000" sqref="J20:O23 Q20:Q23 S20:V23 J78:N97" name="financiera r1"/>
    <protectedRange algorithmName="SHA-512" hashValue="k/f0BU+CZo3pI4Ts7ISgFcAPwQCDnsyFva34DS+zjnRUObaS13/YqKFPiLKr/IUUuXVkyBZqP280hd0Zqixlag==" saltValue="IDIM9rDRMYxXLnjE/7UboQ==" spinCount="100000" sqref="O33:O37" name="sst r2"/>
    <protectedRange algorithmName="SHA-512" hashValue="ZcJ65W8i5w+wjMlRtvOt+088Bua8nPuPlzZWmzVKZMV8eeeMeyd0ljVsAuha7MmOYRsByoalaeMeLyotH3ipuQ==" saltValue="H8NC6tjRBtVuTwtORjr1kQ==" spinCount="100000" sqref="O43:O57" name="gsa r2"/>
    <protectedRange algorithmName="SHA-512" hashValue="w6wwXA7nCDa/s519h11fYX1RgyBex3sMeOrDP21a2+7YIae2fvbnm5FOTxFbV5s/705AETtADP7qQZ0BlsO7Nw==" saltValue="X//pZ506leVi1dWyL4/X/w==" spinCount="100000" sqref="O63:O72" name="fisicos r2"/>
  </protectedRanges>
  <mergeCells count="70">
    <mergeCell ref="B7:D7"/>
    <mergeCell ref="B1:G1"/>
    <mergeCell ref="B2:G2"/>
    <mergeCell ref="J26:O26"/>
    <mergeCell ref="B8:D8"/>
    <mergeCell ref="J8:O8"/>
    <mergeCell ref="B11:B12"/>
    <mergeCell ref="B13:B14"/>
    <mergeCell ref="B15:B18"/>
    <mergeCell ref="B19:B23"/>
    <mergeCell ref="B25:D25"/>
    <mergeCell ref="B26:D26"/>
    <mergeCell ref="F13:G13"/>
    <mergeCell ref="F14:G14"/>
    <mergeCell ref="F15:G15"/>
    <mergeCell ref="F16:G16"/>
    <mergeCell ref="S8:V8"/>
    <mergeCell ref="F9:G9"/>
    <mergeCell ref="F10:G10"/>
    <mergeCell ref="F11:G11"/>
    <mergeCell ref="F12:G12"/>
    <mergeCell ref="B43:B47"/>
    <mergeCell ref="B68:B72"/>
    <mergeCell ref="C68:C72"/>
    <mergeCell ref="E68:E72"/>
    <mergeCell ref="B73:B77"/>
    <mergeCell ref="C73:C77"/>
    <mergeCell ref="E73:E77"/>
    <mergeCell ref="C43:C47"/>
    <mergeCell ref="E43:E47"/>
    <mergeCell ref="B48:B52"/>
    <mergeCell ref="C48:C52"/>
    <mergeCell ref="E48:E52"/>
    <mergeCell ref="B53:B57"/>
    <mergeCell ref="C53:C57"/>
    <mergeCell ref="E53:E57"/>
    <mergeCell ref="B58:B62"/>
    <mergeCell ref="E28:E32"/>
    <mergeCell ref="B33:B37"/>
    <mergeCell ref="E33:E37"/>
    <mergeCell ref="B38:B42"/>
    <mergeCell ref="E38:E42"/>
    <mergeCell ref="C38:C42"/>
    <mergeCell ref="C28:C32"/>
    <mergeCell ref="C33:C37"/>
    <mergeCell ref="B28:B32"/>
    <mergeCell ref="C58:C62"/>
    <mergeCell ref="E58:E62"/>
    <mergeCell ref="B63:B67"/>
    <mergeCell ref="C63:C67"/>
    <mergeCell ref="E63:E67"/>
    <mergeCell ref="B78:B82"/>
    <mergeCell ref="C78:C82"/>
    <mergeCell ref="E78:E82"/>
    <mergeCell ref="B83:B87"/>
    <mergeCell ref="C83:C87"/>
    <mergeCell ref="E83:E87"/>
    <mergeCell ref="B88:B92"/>
    <mergeCell ref="C88:C92"/>
    <mergeCell ref="E88:E92"/>
    <mergeCell ref="B93:B97"/>
    <mergeCell ref="C93:C97"/>
    <mergeCell ref="E93:E97"/>
    <mergeCell ref="F17:G17"/>
    <mergeCell ref="F23:G23"/>
    <mergeCell ref="F18:G18"/>
    <mergeCell ref="F19:G19"/>
    <mergeCell ref="F20:G20"/>
    <mergeCell ref="F21:G21"/>
    <mergeCell ref="F22:G22"/>
  </mergeCells>
  <dataValidations count="25">
    <dataValidation allowBlank="1" showInputMessage="1" showErrorMessage="1" prompt="Redacte los beneficios, logros y resultados del indicador para cada uno de los meses correspondientes a la fecha de corte del reporte" sqref="J32:O32 J37:O37 J42:O42 J47:O47 J52:O52 J57:O57 J62:O62 J67:O67 J72:O72 J77:O77 J82:O82 J87:O87 J92:O92 J97:O97" xr:uid="{00000000-0002-0000-0E00-000000000000}"/>
    <dataValidation allowBlank="1" showInputMessage="1" showErrorMessage="1" prompt="Redacte las dificultades o retrasos, y soluciones propuestas del indicador para cada uno de los meses correspondientes a la fecha de corte del reporte" sqref="J31:O31 J36:O36 J41:O41 J46:O46 J51:O51 J56:O56 J61:O61 J66:O66 J71:O71 J76:O76 J81:O81 J86:O86 J91:O91 J96:O96" xr:uid="{00000000-0002-0000-0E00-000001000000}"/>
    <dataValidation allowBlank="1" showInputMessage="1" showErrorMessage="1" prompt="Redacte el avance en la gestión del indicador para cada uno de los meses correspondientes a la fecha de corte del reporte" sqref="J30:O30 J35:O35 J40:O40 J45:O45 J50:O50 J55:O55 J60:O60 J65:O65 J70:O70 J75:O75 J80:O80 J85:O85 J90:O90 J95:O95" xr:uid="{00000000-0002-0000-0E00-000002000000}"/>
    <dataValidation allowBlank="1" showInputMessage="1" showErrorMessage="1" prompt="Diligencie la magnitud de la variable 2 del indicador para cada uno de los meses correspondientes a la fecha de corte del reporte. Este campo aplica unicamente para los indicadores que tienen variable 2." sqref="J94:O94 J34:O34 J39:O39 J44:O44 J49:O49 J54:O54 J59:O59 J64:O64 J69:O69 J74:O74 J79:O79 J84:O84 J89:O89" xr:uid="{00000000-0002-0000-0E00-000003000000}"/>
    <dataValidation allowBlank="1" showInputMessage="1" showErrorMessage="1" prompt="Diligencie la magnitud de la variable 1 del indicador para cada uno de los meses correspondientes a la fecha de corte del reporte" sqref="J93:O93 J33:O33 J38:O38 J43:O43 J48:O48 J53:O53 J58:O58 J63:O63 J68:O68 J73:O73 J78:O78 J83:O83 J88:O88" xr:uid="{00000000-0002-0000-0E00-000004000000}"/>
    <dataValidation allowBlank="1" showInputMessage="1" showErrorMessage="1" prompt="Corresponde a la clasificación de la variable que se reporta." sqref="I28:I97" xr:uid="{00000000-0002-0000-0E00-000005000000}"/>
    <dataValidation allowBlank="1" showInputMessage="1" showErrorMessage="1" prompt="Corresponde al código de la variable que se reporta. Se compone del ID del Indicador y el denotativo de la Variable (V1, V2, I1, I2, I3)" sqref="F28:F97" xr:uid="{00000000-0002-0000-0E00-000006000000}"/>
    <dataValidation allowBlank="1" showInputMessage="1" showErrorMessage="1" prompt="Diligencie la información más actualizada del indicador. En el caso que el proyecto lo requiera: se debe completar, ampliar o modificar la Descripción, las Actividades, los Beneficios y las Fuentes de Verificación que actualmente sea asocian al indicador." sqref="S10:V23" xr:uid="{00000000-0002-0000-0E00-000007000000}"/>
    <dataValidation allowBlank="1" showInputMessage="1" showErrorMessage="1" prompt="Sólo aplica para los indicadores que cumplan estas dos condiciones: 1) Tendencia Anual = Constante o Creciente. 2) Tendencia Mensual = Suma._x000a_Corresponde a la sumatoria de las magnitudes mensuales programadas para la vigencia." sqref="R10:R23" xr:uid="{00000000-0002-0000-0E00-000008000000}"/>
    <dataValidation allowBlank="1" showInputMessage="1" showErrorMessage="1" prompt="Corresponde a la Meta Programada para el 2020" sqref="P10:P23" xr:uid="{00000000-0002-0000-0E00-000009000000}"/>
    <dataValidation allowBlank="1" showInputMessage="1" showErrorMessage="1" prompt="Programe la magnitud de la Meta para cada uno de los meses, tenga en cuenta la Meta total programada para la vigencia, asi como la tendencia y la unidad de medida" sqref="J28:O29 J10:O23" xr:uid="{00000000-0002-0000-0E00-00000A000000}"/>
    <dataValidation allowBlank="1" showInputMessage="1" showErrorMessage="1" prompt="Corresponde a la unidad de medida del indicador" sqref="I10:I23" xr:uid="{00000000-0002-0000-0E00-00000B000000}"/>
    <dataValidation allowBlank="1" showInputMessage="1" showErrorMessage="1" prompt="Corresponde a la tendencia anual del indicador" sqref="H10:H23" xr:uid="{00000000-0002-0000-0E00-00000C000000}"/>
    <dataValidation allowBlank="1" showInputMessage="1" showErrorMessage="1" prompt="Corresponde a los nombres de los indicadores del Proyecto de Inversión" sqref="F10:G23" xr:uid="{00000000-0002-0000-0E00-00000D000000}"/>
    <dataValidation allowBlank="1" showInputMessage="1" showErrorMessage="1" prompt="Corresponde a las metas del Proyecto de Inversión" sqref="E10:E23" xr:uid="{00000000-0002-0000-0E00-00000E000000}"/>
    <dataValidation type="list" allowBlank="1" showInputMessage="1" showErrorMessage="1" prompt="Corresponde a los ID de los indicadores del Proyecto de Inversión" sqref="D10" xr:uid="{00000000-0002-0000-0E00-00000F000000}">
      <formula1>INDIRECT($A$10)</formula1>
    </dataValidation>
    <dataValidation allowBlank="1" showInputMessage="1" showErrorMessage="1" prompt="Corresponde al funcionario encargado de realizar el seguimiento del Proyecto de Inversión" sqref="D5:G5" xr:uid="{00000000-0002-0000-0E00-000010000000}"/>
    <dataValidation allowBlank="1" showInputMessage="1" showErrorMessage="1" prompt="Corresponde al nombre del funcionario que ejerce la Gerencia del Proyecto de Inversión" sqref="D4:G4" xr:uid="{00000000-0002-0000-0E00-000011000000}"/>
    <dataValidation allowBlank="1" showInputMessage="1" showErrorMessage="1" prompt="Corresponde al nombre del Proyecto de Inversión" sqref="D3:G3" xr:uid="{00000000-0002-0000-0E00-000012000000}"/>
    <dataValidation type="list" allowBlank="1" showInputMessage="1" showErrorMessage="1" prompt="Seleccione de la lista desplegable la Tendencia Mensual de la Meta. Para esto tenga en cuenta la evolución MENSUAL de la meta programada. Las opciones disponibles son: Constante, Creciente, Suma, Decreciente." sqref="Q10:Q23" xr:uid="{00000000-0002-0000-0E00-000013000000}">
      <formula1>"Constante,Creciente,Decreciente,Suma"</formula1>
    </dataValidation>
    <dataValidation type="list" allowBlank="1" showInputMessage="1" showErrorMessage="1" prompt="Corresponde a la(s) dependencia(s) asociada(s) al Proyecto de Inversión" sqref="B10:B23" xr:uid="{00000000-0002-0000-0E00-000014000000}">
      <formula1>dependencia</formula1>
    </dataValidation>
    <dataValidation type="list" allowBlank="1" showInputMessage="1" showErrorMessage="1" prompt="Corresponde a los ID de los indicadores del Proyecto de Inversión" sqref="D11:D12" xr:uid="{00000000-0002-0000-0E00-000015000000}">
      <formula1>INDIRECT($A$11)</formula1>
    </dataValidation>
    <dataValidation type="list" allowBlank="1" showInputMessage="1" showErrorMessage="1" prompt="Corresponde a los ID de los indicadores del Proyecto de Inversión" sqref="D13:D14" xr:uid="{00000000-0002-0000-0E00-000016000000}">
      <formula1>INDIRECT($A$13)</formula1>
    </dataValidation>
    <dataValidation type="list" allowBlank="1" showInputMessage="1" showErrorMessage="1" prompt="Corresponde a los ID de los indicadores del Proyecto de Inversión" sqref="D15:D18" xr:uid="{00000000-0002-0000-0E00-000017000000}">
      <formula1>INDIRECT($A$15)</formula1>
    </dataValidation>
    <dataValidation type="list" allowBlank="1" showInputMessage="1" showErrorMessage="1" prompt="Corresponde a los ID de los indicadores del Proyecto de Inversión" sqref="D19:D23" xr:uid="{00000000-0002-0000-0E00-000018000000}">
      <formula1>INDIRECT($A$19)</formula1>
    </dataValidation>
  </dataValidation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6"/>
  <sheetViews>
    <sheetView topLeftCell="D7" workbookViewId="0">
      <selection activeCell="AG13" sqref="AG13"/>
    </sheetView>
  </sheetViews>
  <sheetFormatPr baseColWidth="10" defaultColWidth="11.44140625" defaultRowHeight="14.4" x14ac:dyDescent="0.3"/>
  <cols>
    <col min="1" max="1" width="3.109375" customWidth="1"/>
    <col min="2" max="2" width="31.88671875" customWidth="1"/>
    <col min="3" max="3" width="44.33203125" customWidth="1"/>
    <col min="4" max="4" width="69.88671875" customWidth="1"/>
    <col min="5" max="5" width="27.44140625" customWidth="1"/>
    <col min="6" max="6" width="24" customWidth="1"/>
    <col min="7" max="17" width="0" hidden="1" customWidth="1"/>
    <col min="27" max="27" width="17.33203125" bestFit="1" customWidth="1"/>
  </cols>
  <sheetData>
    <row r="1" spans="1:28" ht="23.4" x14ac:dyDescent="0.45">
      <c r="B1" s="632" t="s">
        <v>2531</v>
      </c>
      <c r="C1" s="633"/>
      <c r="D1" s="603"/>
      <c r="E1" s="15"/>
      <c r="F1" s="15"/>
      <c r="G1" s="15"/>
      <c r="H1" s="15"/>
      <c r="I1" s="120" t="s">
        <v>496</v>
      </c>
      <c r="J1" s="120" t="s">
        <v>497</v>
      </c>
      <c r="K1" s="120" t="s">
        <v>498</v>
      </c>
      <c r="L1" s="120" t="s">
        <v>499</v>
      </c>
      <c r="M1" s="120" t="s">
        <v>500</v>
      </c>
      <c r="N1" s="120" t="s">
        <v>2532</v>
      </c>
      <c r="O1" s="120" t="s">
        <v>501</v>
      </c>
      <c r="P1" s="120" t="s">
        <v>502</v>
      </c>
      <c r="Q1" s="120" t="s">
        <v>503</v>
      </c>
      <c r="R1" s="120" t="s">
        <v>504</v>
      </c>
      <c r="S1" s="120" t="s">
        <v>506</v>
      </c>
      <c r="T1" s="120" t="s">
        <v>507</v>
      </c>
      <c r="U1" s="120" t="s">
        <v>508</v>
      </c>
      <c r="V1" s="120" t="s">
        <v>509</v>
      </c>
      <c r="W1" s="120" t="s">
        <v>510</v>
      </c>
      <c r="X1" s="120" t="s">
        <v>511</v>
      </c>
      <c r="Y1" s="120" t="s">
        <v>2533</v>
      </c>
      <c r="Z1" s="120" t="s">
        <v>512</v>
      </c>
      <c r="AA1" s="120" t="s">
        <v>513</v>
      </c>
      <c r="AB1" s="120" t="s">
        <v>514</v>
      </c>
    </row>
    <row r="2" spans="1:28" s="15" customFormat="1" x14ac:dyDescent="0.3">
      <c r="B2" s="636" t="s">
        <v>2005</v>
      </c>
      <c r="C2" s="637"/>
      <c r="D2" s="638"/>
    </row>
    <row r="3" spans="1:28" s="15" customFormat="1" x14ac:dyDescent="0.3"/>
    <row r="4" spans="1:28" s="15" customFormat="1" x14ac:dyDescent="0.3"/>
    <row r="5" spans="1:28" s="15" customFormat="1" x14ac:dyDescent="0.3"/>
    <row r="6" spans="1:28" s="15" customFormat="1" x14ac:dyDescent="0.3"/>
    <row r="7" spans="1:28" ht="15" thickBot="1" x14ac:dyDescent="0.35">
      <c r="B7" s="15"/>
      <c r="C7" s="15"/>
      <c r="D7" s="15"/>
      <c r="E7" s="15"/>
      <c r="F7" s="634" t="s">
        <v>2534</v>
      </c>
      <c r="G7" s="634"/>
      <c r="H7" s="634"/>
      <c r="I7" s="634"/>
      <c r="J7" s="634"/>
      <c r="K7" s="634"/>
      <c r="L7" s="634"/>
      <c r="M7" s="634"/>
      <c r="N7" s="634"/>
      <c r="O7" s="634"/>
      <c r="P7" s="634"/>
      <c r="Q7" s="635" t="s">
        <v>2535</v>
      </c>
      <c r="R7" s="635"/>
      <c r="S7" s="635"/>
      <c r="T7" s="635"/>
      <c r="U7" s="635"/>
      <c r="V7" s="635"/>
      <c r="W7" s="635"/>
      <c r="X7" s="635"/>
      <c r="Y7" s="635"/>
      <c r="Z7" s="635"/>
      <c r="AA7" s="635"/>
      <c r="AB7" s="444"/>
    </row>
    <row r="8" spans="1:28" ht="15" thickBot="1" x14ac:dyDescent="0.35">
      <c r="B8" s="367" t="s">
        <v>1868</v>
      </c>
      <c r="C8" s="367" t="s">
        <v>2536</v>
      </c>
      <c r="D8" s="367" t="s">
        <v>541</v>
      </c>
      <c r="E8" s="368" t="s">
        <v>544</v>
      </c>
      <c r="F8" s="368" t="s">
        <v>413</v>
      </c>
      <c r="G8" s="369" t="s">
        <v>30</v>
      </c>
      <c r="H8" s="369" t="s">
        <v>31</v>
      </c>
      <c r="I8" s="369" t="s">
        <v>32</v>
      </c>
      <c r="J8" s="369" t="s">
        <v>33</v>
      </c>
      <c r="K8" s="369" t="s">
        <v>34</v>
      </c>
      <c r="L8" s="369" t="s">
        <v>35</v>
      </c>
      <c r="M8" s="369" t="s">
        <v>36</v>
      </c>
      <c r="N8" s="369" t="s">
        <v>37</v>
      </c>
      <c r="O8" s="369" t="s">
        <v>38</v>
      </c>
      <c r="P8" s="369" t="s">
        <v>1848</v>
      </c>
      <c r="Q8" s="369" t="s">
        <v>1850</v>
      </c>
      <c r="R8" s="369" t="s">
        <v>30</v>
      </c>
      <c r="S8" s="369" t="s">
        <v>31</v>
      </c>
      <c r="T8" s="369" t="s">
        <v>32</v>
      </c>
      <c r="U8" s="369" t="s">
        <v>33</v>
      </c>
      <c r="V8" s="369" t="s">
        <v>34</v>
      </c>
      <c r="W8" s="369" t="s">
        <v>35</v>
      </c>
      <c r="X8" s="369" t="s">
        <v>36</v>
      </c>
      <c r="Y8" s="369" t="s">
        <v>37</v>
      </c>
      <c r="Z8" s="369" t="s">
        <v>38</v>
      </c>
      <c r="AA8" s="369" t="s">
        <v>1848</v>
      </c>
      <c r="AB8" s="369" t="s">
        <v>1850</v>
      </c>
    </row>
    <row r="9" spans="1:28" ht="32.25" customHeight="1" x14ac:dyDescent="0.3">
      <c r="A9" s="92" t="str">
        <f>+VLOOKUP(B9,responsables,8,0)</f>
        <v>oap</v>
      </c>
      <c r="B9" s="576" t="s">
        <v>105</v>
      </c>
      <c r="C9" s="435" t="s">
        <v>1143</v>
      </c>
      <c r="D9" s="189" t="s">
        <v>1150</v>
      </c>
      <c r="E9" s="435" t="s">
        <v>601</v>
      </c>
      <c r="F9" s="435" t="s">
        <v>602</v>
      </c>
      <c r="G9" s="370" t="s">
        <v>90</v>
      </c>
      <c r="H9" s="371" t="s">
        <v>77</v>
      </c>
      <c r="I9" s="370" t="s">
        <v>78</v>
      </c>
      <c r="J9" s="370" t="s">
        <v>66</v>
      </c>
      <c r="K9" s="370" t="s">
        <v>92</v>
      </c>
      <c r="L9" s="370" t="s">
        <v>92</v>
      </c>
      <c r="M9" s="370" t="s">
        <v>90</v>
      </c>
      <c r="N9" s="370" t="s">
        <v>92</v>
      </c>
      <c r="O9" s="370" t="s">
        <v>69</v>
      </c>
      <c r="P9" s="370" t="s">
        <v>2537</v>
      </c>
      <c r="Q9" s="370" t="s">
        <v>332</v>
      </c>
      <c r="R9" s="370" t="s">
        <v>63</v>
      </c>
      <c r="S9" s="371" t="s">
        <v>77</v>
      </c>
      <c r="T9" s="370" t="s">
        <v>65</v>
      </c>
      <c r="U9" s="370" t="s">
        <v>66</v>
      </c>
      <c r="V9" s="370" t="s">
        <v>67</v>
      </c>
      <c r="W9" s="370" t="s">
        <v>90</v>
      </c>
      <c r="X9" s="370" t="s">
        <v>90</v>
      </c>
      <c r="Y9" s="370" t="s">
        <v>78</v>
      </c>
      <c r="Z9" s="370" t="s">
        <v>69</v>
      </c>
      <c r="AA9" s="370" t="s">
        <v>2538</v>
      </c>
      <c r="AB9" s="370" t="s">
        <v>332</v>
      </c>
    </row>
    <row r="10" spans="1:28" ht="32.25" customHeight="1" x14ac:dyDescent="0.3">
      <c r="B10" s="563"/>
      <c r="C10" s="432" t="s">
        <v>1162</v>
      </c>
      <c r="D10" s="79" t="s">
        <v>1164</v>
      </c>
      <c r="E10" s="432" t="s">
        <v>601</v>
      </c>
      <c r="F10" s="432" t="s">
        <v>602</v>
      </c>
      <c r="G10" s="370" t="s">
        <v>63</v>
      </c>
      <c r="H10" s="371" t="s">
        <v>77</v>
      </c>
      <c r="I10" s="370" t="s">
        <v>65</v>
      </c>
      <c r="J10" s="370" t="s">
        <v>66</v>
      </c>
      <c r="K10" s="370" t="s">
        <v>67</v>
      </c>
      <c r="L10" s="370" t="s">
        <v>92</v>
      </c>
      <c r="M10" s="370" t="s">
        <v>90</v>
      </c>
      <c r="N10" s="370" t="s">
        <v>65</v>
      </c>
      <c r="O10" s="370" t="s">
        <v>69</v>
      </c>
      <c r="P10" s="370" t="s">
        <v>2539</v>
      </c>
      <c r="Q10" s="370" t="s">
        <v>332</v>
      </c>
      <c r="R10" s="370" t="s">
        <v>90</v>
      </c>
      <c r="S10" s="371" t="s">
        <v>116</v>
      </c>
      <c r="T10" s="370" t="s">
        <v>90</v>
      </c>
      <c r="U10" s="370" t="s">
        <v>90</v>
      </c>
      <c r="V10" s="370" t="s">
        <v>90</v>
      </c>
      <c r="W10" s="370" t="s">
        <v>90</v>
      </c>
      <c r="X10" s="370" t="s">
        <v>90</v>
      </c>
      <c r="Y10" s="370" t="s">
        <v>90</v>
      </c>
      <c r="Z10" s="370" t="s">
        <v>69</v>
      </c>
      <c r="AA10" s="370" t="s">
        <v>2540</v>
      </c>
      <c r="AB10" s="370" t="s">
        <v>332</v>
      </c>
    </row>
    <row r="11" spans="1:28" ht="32.25" customHeight="1" x14ac:dyDescent="0.3">
      <c r="B11" s="563"/>
      <c r="C11" s="432" t="s">
        <v>1170</v>
      </c>
      <c r="D11" s="79" t="s">
        <v>1172</v>
      </c>
      <c r="E11" s="432" t="s">
        <v>601</v>
      </c>
      <c r="F11" s="432" t="s">
        <v>602</v>
      </c>
      <c r="G11" s="370" t="s">
        <v>90</v>
      </c>
      <c r="H11" s="371" t="s">
        <v>77</v>
      </c>
      <c r="I11" s="370" t="s">
        <v>78</v>
      </c>
      <c r="J11" s="370" t="s">
        <v>66</v>
      </c>
      <c r="K11" s="370" t="s">
        <v>67</v>
      </c>
      <c r="L11" s="370" t="s">
        <v>92</v>
      </c>
      <c r="M11" s="370" t="s">
        <v>90</v>
      </c>
      <c r="N11" s="370" t="s">
        <v>65</v>
      </c>
      <c r="O11" s="370" t="s">
        <v>69</v>
      </c>
      <c r="P11" s="370" t="s">
        <v>2541</v>
      </c>
      <c r="Q11" s="370" t="s">
        <v>332</v>
      </c>
      <c r="R11" s="370" t="s">
        <v>63</v>
      </c>
      <c r="S11" s="371" t="s">
        <v>77</v>
      </c>
      <c r="T11" s="370" t="s">
        <v>65</v>
      </c>
      <c r="U11" s="370" t="s">
        <v>66</v>
      </c>
      <c r="V11" s="370" t="s">
        <v>67</v>
      </c>
      <c r="W11" s="370" t="s">
        <v>90</v>
      </c>
      <c r="X11" s="370" t="s">
        <v>90</v>
      </c>
      <c r="Y11" s="370" t="s">
        <v>65</v>
      </c>
      <c r="Z11" s="370" t="s">
        <v>69</v>
      </c>
      <c r="AA11" s="370" t="s">
        <v>2540</v>
      </c>
      <c r="AB11" s="370" t="s">
        <v>332</v>
      </c>
    </row>
    <row r="12" spans="1:28" ht="32.25" customHeight="1" x14ac:dyDescent="0.3">
      <c r="B12" s="563"/>
      <c r="C12" s="432" t="s">
        <v>1178</v>
      </c>
      <c r="D12" s="79" t="s">
        <v>1180</v>
      </c>
      <c r="E12" s="432" t="s">
        <v>601</v>
      </c>
      <c r="F12" s="432" t="s">
        <v>602</v>
      </c>
      <c r="G12" s="370" t="s">
        <v>90</v>
      </c>
      <c r="H12" s="371" t="s">
        <v>64</v>
      </c>
      <c r="I12" s="370" t="s">
        <v>78</v>
      </c>
      <c r="J12" s="370" t="s">
        <v>66</v>
      </c>
      <c r="K12" s="370" t="s">
        <v>92</v>
      </c>
      <c r="L12" s="370" t="s">
        <v>92</v>
      </c>
      <c r="M12" s="370" t="s">
        <v>90</v>
      </c>
      <c r="N12" s="370" t="s">
        <v>92</v>
      </c>
      <c r="O12" s="370" t="s">
        <v>69</v>
      </c>
      <c r="P12" s="370" t="s">
        <v>2542</v>
      </c>
      <c r="Q12" s="370" t="s">
        <v>332</v>
      </c>
      <c r="R12" s="370" t="s">
        <v>63</v>
      </c>
      <c r="S12" s="371" t="s">
        <v>64</v>
      </c>
      <c r="T12" s="370" t="s">
        <v>65</v>
      </c>
      <c r="U12" s="370" t="s">
        <v>66</v>
      </c>
      <c r="V12" s="370" t="s">
        <v>67</v>
      </c>
      <c r="W12" s="370" t="s">
        <v>67</v>
      </c>
      <c r="X12" s="370" t="s">
        <v>90</v>
      </c>
      <c r="Y12" s="370" t="s">
        <v>65</v>
      </c>
      <c r="Z12" s="370" t="s">
        <v>69</v>
      </c>
      <c r="AA12" s="370" t="s">
        <v>2543</v>
      </c>
      <c r="AB12" s="370" t="s">
        <v>332</v>
      </c>
    </row>
    <row r="13" spans="1:28" ht="32.25" customHeight="1" x14ac:dyDescent="0.3">
      <c r="B13" s="563"/>
      <c r="C13" s="432" t="s">
        <v>1185</v>
      </c>
      <c r="D13" s="79" t="s">
        <v>1187</v>
      </c>
      <c r="E13" s="432" t="s">
        <v>601</v>
      </c>
      <c r="F13" s="432" t="s">
        <v>602</v>
      </c>
      <c r="G13" s="370" t="s">
        <v>90</v>
      </c>
      <c r="H13" s="371" t="s">
        <v>77</v>
      </c>
      <c r="I13" s="370" t="s">
        <v>78</v>
      </c>
      <c r="J13" s="370" t="s">
        <v>66</v>
      </c>
      <c r="K13" s="370" t="s">
        <v>92</v>
      </c>
      <c r="L13" s="370" t="s">
        <v>92</v>
      </c>
      <c r="M13" s="370" t="s">
        <v>90</v>
      </c>
      <c r="N13" s="370" t="s">
        <v>92</v>
      </c>
      <c r="O13" s="370" t="s">
        <v>69</v>
      </c>
      <c r="P13" s="370" t="s">
        <v>2544</v>
      </c>
      <c r="Q13" s="370" t="s">
        <v>332</v>
      </c>
      <c r="R13" s="370" t="s">
        <v>63</v>
      </c>
      <c r="S13" s="371" t="s">
        <v>77</v>
      </c>
      <c r="T13" s="370" t="s">
        <v>65</v>
      </c>
      <c r="U13" s="370" t="s">
        <v>66</v>
      </c>
      <c r="V13" s="370" t="s">
        <v>67</v>
      </c>
      <c r="W13" s="370" t="s">
        <v>90</v>
      </c>
      <c r="X13" s="370" t="s">
        <v>90</v>
      </c>
      <c r="Y13" s="370" t="s">
        <v>65</v>
      </c>
      <c r="Z13" s="370" t="s">
        <v>69</v>
      </c>
      <c r="AA13" s="370" t="s">
        <v>2041</v>
      </c>
      <c r="AB13" s="370" t="s">
        <v>332</v>
      </c>
    </row>
    <row r="14" spans="1:28" ht="32.25" customHeight="1" thickBot="1" x14ac:dyDescent="0.35">
      <c r="B14" s="564"/>
      <c r="C14" s="433" t="s">
        <v>1192</v>
      </c>
      <c r="D14" s="80" t="s">
        <v>1194</v>
      </c>
      <c r="E14" s="433" t="s">
        <v>601</v>
      </c>
      <c r="F14" s="433" t="s">
        <v>602</v>
      </c>
      <c r="G14" s="370" t="s">
        <v>63</v>
      </c>
      <c r="H14" s="371" t="s">
        <v>77</v>
      </c>
      <c r="I14" s="370" t="s">
        <v>65</v>
      </c>
      <c r="J14" s="370" t="s">
        <v>66</v>
      </c>
      <c r="K14" s="370" t="s">
        <v>67</v>
      </c>
      <c r="L14" s="370" t="s">
        <v>92</v>
      </c>
      <c r="M14" s="370" t="s">
        <v>90</v>
      </c>
      <c r="N14" s="370" t="s">
        <v>65</v>
      </c>
      <c r="O14" s="370" t="s">
        <v>69</v>
      </c>
      <c r="P14" s="370" t="s">
        <v>2545</v>
      </c>
      <c r="Q14" s="370" t="s">
        <v>332</v>
      </c>
      <c r="R14" s="370" t="s">
        <v>90</v>
      </c>
      <c r="S14" s="371" t="s">
        <v>116</v>
      </c>
      <c r="T14" s="370" t="s">
        <v>90</v>
      </c>
      <c r="U14" s="370" t="s">
        <v>90</v>
      </c>
      <c r="V14" s="370" t="s">
        <v>90</v>
      </c>
      <c r="W14" s="370" t="s">
        <v>90</v>
      </c>
      <c r="X14" s="370" t="s">
        <v>90</v>
      </c>
      <c r="Y14" s="370" t="s">
        <v>90</v>
      </c>
      <c r="Z14" s="370" t="s">
        <v>69</v>
      </c>
      <c r="AA14" s="370" t="s">
        <v>2540</v>
      </c>
      <c r="AB14" s="370" t="s">
        <v>332</v>
      </c>
    </row>
    <row r="16" spans="1:28" x14ac:dyDescent="0.3">
      <c r="R16" s="375" t="s">
        <v>30</v>
      </c>
      <c r="S16" s="375" t="s">
        <v>31</v>
      </c>
      <c r="T16" s="375" t="s">
        <v>32</v>
      </c>
      <c r="U16" s="375" t="s">
        <v>33</v>
      </c>
      <c r="V16" s="375" t="s">
        <v>34</v>
      </c>
      <c r="W16" s="375" t="s">
        <v>35</v>
      </c>
      <c r="X16" s="375" t="s">
        <v>36</v>
      </c>
      <c r="Y16" s="375" t="s">
        <v>37</v>
      </c>
      <c r="Z16" s="377" t="s">
        <v>38</v>
      </c>
    </row>
    <row r="17" spans="2:5" x14ac:dyDescent="0.3">
      <c r="B17" s="372" t="s">
        <v>2546</v>
      </c>
      <c r="C17" s="373" t="s">
        <v>2547</v>
      </c>
      <c r="D17" s="374" t="s">
        <v>2548</v>
      </c>
    </row>
    <row r="18" spans="2:5" x14ac:dyDescent="0.3">
      <c r="B18" s="375" t="s">
        <v>30</v>
      </c>
      <c r="C18" t="s">
        <v>1839</v>
      </c>
      <c r="D18" s="376" t="s">
        <v>2549</v>
      </c>
      <c r="E18" s="245" t="s">
        <v>30</v>
      </c>
    </row>
    <row r="19" spans="2:5" x14ac:dyDescent="0.3">
      <c r="B19" s="375" t="s">
        <v>31</v>
      </c>
      <c r="C19" t="s">
        <v>1840</v>
      </c>
      <c r="D19" s="376" t="s">
        <v>2550</v>
      </c>
      <c r="E19" s="245" t="s">
        <v>31</v>
      </c>
    </row>
    <row r="20" spans="2:5" x14ac:dyDescent="0.3">
      <c r="B20" s="375" t="s">
        <v>32</v>
      </c>
      <c r="C20" t="s">
        <v>1841</v>
      </c>
      <c r="D20" s="376" t="s">
        <v>2551</v>
      </c>
      <c r="E20" s="245" t="s">
        <v>32</v>
      </c>
    </row>
    <row r="21" spans="2:5" x14ac:dyDescent="0.3">
      <c r="B21" s="375" t="s">
        <v>33</v>
      </c>
      <c r="C21" t="s">
        <v>1842</v>
      </c>
      <c r="D21" s="376" t="s">
        <v>2552</v>
      </c>
      <c r="E21" s="245" t="s">
        <v>33</v>
      </c>
    </row>
    <row r="22" spans="2:5" x14ac:dyDescent="0.3">
      <c r="B22" s="375" t="s">
        <v>34</v>
      </c>
      <c r="C22" t="s">
        <v>1843</v>
      </c>
      <c r="D22" s="376" t="s">
        <v>2553</v>
      </c>
      <c r="E22" s="245" t="s">
        <v>34</v>
      </c>
    </row>
    <row r="23" spans="2:5" x14ac:dyDescent="0.3">
      <c r="B23" s="375" t="s">
        <v>35</v>
      </c>
      <c r="C23" t="s">
        <v>1844</v>
      </c>
      <c r="D23" s="376" t="s">
        <v>2554</v>
      </c>
      <c r="E23" s="245" t="s">
        <v>35</v>
      </c>
    </row>
    <row r="24" spans="2:5" x14ac:dyDescent="0.3">
      <c r="B24" s="375" t="s">
        <v>36</v>
      </c>
      <c r="C24" s="300" t="s">
        <v>1845</v>
      </c>
      <c r="D24" s="376"/>
      <c r="E24" s="245" t="s">
        <v>36</v>
      </c>
    </row>
    <row r="25" spans="2:5" x14ac:dyDescent="0.3">
      <c r="B25" s="375" t="s">
        <v>37</v>
      </c>
      <c r="C25" t="s">
        <v>1846</v>
      </c>
      <c r="D25" s="376" t="s">
        <v>2555</v>
      </c>
      <c r="E25" s="245" t="s">
        <v>37</v>
      </c>
    </row>
    <row r="26" spans="2:5" ht="15" thickBot="1" x14ac:dyDescent="0.35">
      <c r="B26" s="377" t="s">
        <v>38</v>
      </c>
      <c r="C26" s="378" t="s">
        <v>1847</v>
      </c>
      <c r="D26" s="379" t="s">
        <v>2556</v>
      </c>
      <c r="E26" s="245" t="s">
        <v>38</v>
      </c>
    </row>
  </sheetData>
  <protectedRanges>
    <protectedRange algorithmName="SHA-512" hashValue="h8lfHTpgu9sjZ5FD0TFTRW4XK4YjJlAc8LZdVTUDTQhNn0cZfXCRaOK5xKDI8TeiI4TEpREutu47LsJax8qmVQ==" saltValue="45vNl5eoNL6jcuPRFWVeJA==" spinCount="100000" sqref="G9:Z14" name="Trimestre1_2"/>
    <protectedRange algorithmName="SHA-512" hashValue="/FuuMS3bGaCiHkeKhejoTbuKloDettmow+jAdK04mlTRCr306syv/mgc7i7KY9N3bEb4zcozKro3ZWG7j4F+bQ==" saltValue="5/e4EmDDqTu6D06OfqgyAg==" spinCount="100000" sqref="AA9:AB14" name="Trimestre2_2"/>
  </protectedRanges>
  <mergeCells count="5">
    <mergeCell ref="B1:D1"/>
    <mergeCell ref="F7:P7"/>
    <mergeCell ref="Q7:AA7"/>
    <mergeCell ref="B9:B14"/>
    <mergeCell ref="B2:D2"/>
  </mergeCells>
  <dataValidations count="6">
    <dataValidation allowBlank="1" showInputMessage="1" showErrorMessage="1" prompt="Corresponde a la tendencia anual del indicador" sqref="E9:E14" xr:uid="{00000000-0002-0000-0F00-000000000000}"/>
    <dataValidation allowBlank="1" showInputMessage="1" showErrorMessage="1" prompt="Corresponde a la unidad de medida del indicador" sqref="F9:F14" xr:uid="{00000000-0002-0000-0F00-000001000000}"/>
    <dataValidation allowBlank="1" showInputMessage="1" showErrorMessage="1" prompt="Corresponde a los nombres de los indicadores del Proyecto de Inversión" sqref="D9:D14" xr:uid="{00000000-0002-0000-0F00-000002000000}"/>
    <dataValidation type="list" allowBlank="1" showInputMessage="1" showErrorMessage="1" prompt="Corresponde a los ID de los indicadores del Proyecto de Inversión" sqref="C9:C14" xr:uid="{00000000-0002-0000-0F00-000003000000}">
      <formula1>INDIRECT($A$15)</formula1>
    </dataValidation>
    <dataValidation type="textLength" operator="lessThanOrEqual" allowBlank="1" showInputMessage="1" showErrorMessage="1" sqref="AA9:AA14" xr:uid="{00000000-0002-0000-0F00-000004000000}">
      <formula1>1000</formula1>
    </dataValidation>
    <dataValidation type="textLength" allowBlank="1" showInputMessage="1" showErrorMessage="1" sqref="Q9:Q14 AB9:AB14" xr:uid="{00000000-0002-0000-0F00-000005000000}">
      <formula1>2</formula1>
      <formula2>50</formula2>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F00-000006000000}">
          <x14:formula1>
            <xm:f>Listas!$P$5:$P$7</xm:f>
          </x14:formula1>
          <xm:sqref>G9:G14 R9:R14</xm:sqref>
        </x14:dataValidation>
        <x14:dataValidation type="list" allowBlank="1" showInputMessage="1" showErrorMessage="1" xr:uid="{00000000-0002-0000-0F00-000007000000}">
          <x14:formula1>
            <xm:f>Listas!$Q$5:$Q$11</xm:f>
          </x14:formula1>
          <xm:sqref>H9:H14 S9:S14</xm:sqref>
        </x14:dataValidation>
        <x14:dataValidation type="list" allowBlank="1" showInputMessage="1" showErrorMessage="1" xr:uid="{00000000-0002-0000-0F00-000008000000}">
          <x14:formula1>
            <xm:f>Listas!$R$5:$R$8</xm:f>
          </x14:formula1>
          <xm:sqref>I9:I14 T9:T14</xm:sqref>
        </x14:dataValidation>
        <x14:dataValidation type="list" allowBlank="1" showInputMessage="1" showErrorMessage="1" xr:uid="{00000000-0002-0000-0F00-000009000000}">
          <x14:formula1>
            <xm:f>Listas!$S$5:$S$8</xm:f>
          </x14:formula1>
          <xm:sqref>J9:J14 U9:U14</xm:sqref>
        </x14:dataValidation>
        <x14:dataValidation type="list" allowBlank="1" showInputMessage="1" showErrorMessage="1" xr:uid="{00000000-0002-0000-0F00-00000A000000}">
          <x14:formula1>
            <xm:f>Listas!$T$5:$T$8</xm:f>
          </x14:formula1>
          <xm:sqref>K9:K14 V9:V14</xm:sqref>
        </x14:dataValidation>
        <x14:dataValidation type="list" allowBlank="1" showInputMessage="1" showErrorMessage="1" xr:uid="{00000000-0002-0000-0F00-00000B000000}">
          <x14:formula1>
            <xm:f>Listas!$U$5:$U$8</xm:f>
          </x14:formula1>
          <xm:sqref>L9:L14 W9:W14</xm:sqref>
        </x14:dataValidation>
        <x14:dataValidation type="list" allowBlank="1" showInputMessage="1" showErrorMessage="1" xr:uid="{00000000-0002-0000-0F00-00000C000000}">
          <x14:formula1>
            <xm:f>Listas!$V$5:$V$8</xm:f>
          </x14:formula1>
          <xm:sqref>M9:M14 X9:X14</xm:sqref>
        </x14:dataValidation>
        <x14:dataValidation type="list" allowBlank="1" showInputMessage="1" showErrorMessage="1" xr:uid="{00000000-0002-0000-0F00-00000D000000}">
          <x14:formula1>
            <xm:f>Listas!$W$5:$W$8</xm:f>
          </x14:formula1>
          <xm:sqref>N9:N14 Y9:Y14</xm:sqref>
        </x14:dataValidation>
        <x14:dataValidation type="list" allowBlank="1" showInputMessage="1" showErrorMessage="1" xr:uid="{00000000-0002-0000-0F00-00000E000000}">
          <x14:formula1>
            <xm:f>Listas!$X$5:$X$6</xm:f>
          </x14:formula1>
          <xm:sqref>O9:O14 Z9:Z14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11.44140625" defaultRowHeight="14.4" x14ac:dyDescent="0.3"/>
  <sheetData>
    <row r="1" spans="1:1" x14ac:dyDescent="0.3">
      <c r="A1" t="s">
        <v>14</v>
      </c>
    </row>
    <row r="2" spans="1:1" x14ac:dyDescent="0.3">
      <c r="A2" t="s">
        <v>15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28"/>
  <sheetViews>
    <sheetView topLeftCell="K1" workbookViewId="0">
      <selection activeCell="AA11" sqref="AA11"/>
    </sheetView>
  </sheetViews>
  <sheetFormatPr baseColWidth="10" defaultColWidth="11.44140625" defaultRowHeight="14.4" x14ac:dyDescent="0.3"/>
  <cols>
    <col min="1" max="1" width="3.109375" customWidth="1"/>
    <col min="2" max="2" width="29.44140625" bestFit="1" customWidth="1"/>
    <col min="3" max="3" width="27.33203125" customWidth="1"/>
    <col min="4" max="4" width="86.33203125" customWidth="1"/>
    <col min="5" max="5" width="27.44140625" customWidth="1"/>
    <col min="6" max="6" width="24" customWidth="1"/>
    <col min="27" max="27" width="17.33203125" bestFit="1" customWidth="1"/>
  </cols>
  <sheetData>
    <row r="1" spans="1:28" ht="23.4" x14ac:dyDescent="0.45">
      <c r="B1" s="632" t="s">
        <v>2531</v>
      </c>
      <c r="C1" s="633"/>
      <c r="D1" s="603"/>
      <c r="E1" s="15"/>
      <c r="F1" s="15"/>
      <c r="G1" s="15"/>
      <c r="H1" s="15"/>
      <c r="I1" s="120" t="s">
        <v>496</v>
      </c>
      <c r="J1" s="120" t="s">
        <v>497</v>
      </c>
      <c r="K1" s="120" t="s">
        <v>498</v>
      </c>
      <c r="L1" s="120" t="s">
        <v>499</v>
      </c>
      <c r="M1" s="120" t="s">
        <v>500</v>
      </c>
      <c r="N1" s="120" t="s">
        <v>2532</v>
      </c>
      <c r="O1" s="120" t="s">
        <v>501</v>
      </c>
      <c r="P1" s="120" t="s">
        <v>502</v>
      </c>
      <c r="Q1" s="120" t="s">
        <v>503</v>
      </c>
      <c r="R1" s="120" t="s">
        <v>504</v>
      </c>
      <c r="S1" s="120" t="s">
        <v>506</v>
      </c>
      <c r="T1" s="120" t="s">
        <v>507</v>
      </c>
      <c r="U1" s="120" t="s">
        <v>508</v>
      </c>
      <c r="V1" s="120" t="s">
        <v>509</v>
      </c>
      <c r="W1" s="120" t="s">
        <v>510</v>
      </c>
      <c r="X1" s="120" t="s">
        <v>511</v>
      </c>
      <c r="Y1" s="120" t="s">
        <v>2533</v>
      </c>
      <c r="Z1" s="120" t="s">
        <v>512</v>
      </c>
      <c r="AA1" s="120" t="s">
        <v>513</v>
      </c>
      <c r="AB1" s="120" t="s">
        <v>514</v>
      </c>
    </row>
    <row r="2" spans="1:28" s="15" customFormat="1" x14ac:dyDescent="0.3">
      <c r="B2" s="636" t="s">
        <v>10</v>
      </c>
      <c r="C2" s="637"/>
      <c r="D2" s="638"/>
    </row>
    <row r="3" spans="1:28" s="15" customFormat="1" x14ac:dyDescent="0.3"/>
    <row r="4" spans="1:28" s="15" customFormat="1" x14ac:dyDescent="0.3"/>
    <row r="5" spans="1:28" s="15" customFormat="1" x14ac:dyDescent="0.3"/>
    <row r="6" spans="1:28" s="15" customFormat="1" x14ac:dyDescent="0.3"/>
    <row r="7" spans="1:28" ht="15" thickBot="1" x14ac:dyDescent="0.35">
      <c r="B7" s="15"/>
      <c r="C7" s="15"/>
      <c r="D7" s="15"/>
      <c r="E7" s="15"/>
      <c r="F7" s="634" t="s">
        <v>2534</v>
      </c>
      <c r="G7" s="634"/>
      <c r="H7" s="634"/>
      <c r="I7" s="634"/>
      <c r="J7" s="634"/>
      <c r="K7" s="634"/>
      <c r="L7" s="634"/>
      <c r="M7" s="634"/>
      <c r="N7" s="634"/>
      <c r="O7" s="634"/>
      <c r="P7" s="634"/>
      <c r="Q7" s="635" t="s">
        <v>2535</v>
      </c>
      <c r="R7" s="635"/>
      <c r="S7" s="635"/>
      <c r="T7" s="635"/>
      <c r="U7" s="635"/>
      <c r="V7" s="635"/>
      <c r="W7" s="635"/>
      <c r="X7" s="635"/>
      <c r="Y7" s="635"/>
      <c r="Z7" s="635"/>
      <c r="AA7" s="635"/>
      <c r="AB7" s="444"/>
    </row>
    <row r="8" spans="1:28" x14ac:dyDescent="0.3">
      <c r="B8" s="367" t="s">
        <v>1868</v>
      </c>
      <c r="C8" s="367" t="s">
        <v>2536</v>
      </c>
      <c r="D8" s="367" t="s">
        <v>541</v>
      </c>
      <c r="E8" s="368" t="s">
        <v>544</v>
      </c>
      <c r="F8" s="368" t="s">
        <v>413</v>
      </c>
      <c r="G8" s="369" t="s">
        <v>30</v>
      </c>
      <c r="H8" s="369" t="s">
        <v>31</v>
      </c>
      <c r="I8" s="369" t="s">
        <v>32</v>
      </c>
      <c r="J8" s="369" t="s">
        <v>33</v>
      </c>
      <c r="K8" s="369" t="s">
        <v>34</v>
      </c>
      <c r="L8" s="369" t="s">
        <v>35</v>
      </c>
      <c r="M8" s="369" t="s">
        <v>36</v>
      </c>
      <c r="N8" s="369" t="s">
        <v>37</v>
      </c>
      <c r="O8" s="369" t="s">
        <v>38</v>
      </c>
      <c r="P8" s="369" t="s">
        <v>1848</v>
      </c>
      <c r="Q8" s="369" t="s">
        <v>1850</v>
      </c>
      <c r="R8" s="369" t="s">
        <v>30</v>
      </c>
      <c r="S8" s="369" t="s">
        <v>31</v>
      </c>
      <c r="T8" s="369" t="s">
        <v>32</v>
      </c>
      <c r="U8" s="369" t="s">
        <v>33</v>
      </c>
      <c r="V8" s="369" t="s">
        <v>34</v>
      </c>
      <c r="W8" s="369" t="s">
        <v>35</v>
      </c>
      <c r="X8" s="369" t="s">
        <v>36</v>
      </c>
      <c r="Y8" s="369" t="s">
        <v>37</v>
      </c>
      <c r="Z8" s="369" t="s">
        <v>38</v>
      </c>
      <c r="AA8" s="369" t="s">
        <v>1848</v>
      </c>
      <c r="AB8" s="369" t="s">
        <v>1850</v>
      </c>
    </row>
    <row r="9" spans="1:28" ht="27" hidden="1" customHeight="1" x14ac:dyDescent="0.3">
      <c r="A9" s="92" t="str">
        <f>+VLOOKUP(B9,responsables,8,0)</f>
        <v>ati</v>
      </c>
      <c r="B9" s="566" t="s">
        <v>70</v>
      </c>
      <c r="C9" s="432" t="s">
        <v>349</v>
      </c>
      <c r="D9" s="79" t="s">
        <v>2557</v>
      </c>
      <c r="E9" s="432" t="s">
        <v>661</v>
      </c>
      <c r="F9" s="432" t="s">
        <v>602</v>
      </c>
      <c r="G9" s="370"/>
      <c r="H9" s="371"/>
      <c r="I9" s="370"/>
      <c r="J9" s="370"/>
      <c r="K9" s="370"/>
      <c r="L9" s="370"/>
      <c r="M9" s="370"/>
      <c r="N9" s="370"/>
      <c r="O9" s="370"/>
      <c r="P9" s="370"/>
      <c r="Q9" s="370"/>
      <c r="R9" s="370"/>
      <c r="S9" s="371"/>
      <c r="T9" s="370"/>
      <c r="U9" s="370"/>
      <c r="V9" s="370"/>
      <c r="W9" s="370"/>
      <c r="X9" s="370"/>
      <c r="Y9" s="370"/>
      <c r="Z9" s="370"/>
      <c r="AA9" s="370"/>
      <c r="AB9" s="370"/>
    </row>
    <row r="10" spans="1:28" ht="27" hidden="1" customHeight="1" x14ac:dyDescent="0.3">
      <c r="B10" s="566"/>
      <c r="C10" s="432" t="s">
        <v>350</v>
      </c>
      <c r="D10" s="79" t="s">
        <v>1355</v>
      </c>
      <c r="E10" s="432" t="s">
        <v>661</v>
      </c>
      <c r="F10" s="432" t="s">
        <v>639</v>
      </c>
      <c r="G10" s="370"/>
      <c r="H10" s="371"/>
      <c r="I10" s="370"/>
      <c r="J10" s="370"/>
      <c r="K10" s="370"/>
      <c r="L10" s="370"/>
      <c r="M10" s="370"/>
      <c r="N10" s="370"/>
      <c r="O10" s="370"/>
      <c r="P10" s="370"/>
      <c r="Q10" s="370"/>
      <c r="R10" s="370"/>
      <c r="S10" s="371"/>
      <c r="T10" s="370"/>
      <c r="U10" s="370"/>
      <c r="V10" s="370"/>
      <c r="W10" s="370"/>
      <c r="X10" s="370"/>
      <c r="Y10" s="370"/>
      <c r="Z10" s="370"/>
      <c r="AA10" s="370"/>
      <c r="AB10" s="370"/>
    </row>
    <row r="11" spans="1:28" ht="27" customHeight="1" x14ac:dyDescent="0.3">
      <c r="B11" s="566" t="s">
        <v>146</v>
      </c>
      <c r="C11" s="432" t="s">
        <v>351</v>
      </c>
      <c r="D11" s="79" t="s">
        <v>1363</v>
      </c>
      <c r="E11" s="432" t="s">
        <v>601</v>
      </c>
      <c r="F11" s="432" t="s">
        <v>602</v>
      </c>
      <c r="G11" s="370" t="s">
        <v>63</v>
      </c>
      <c r="H11" s="371" t="s">
        <v>77</v>
      </c>
      <c r="I11" s="370" t="s">
        <v>65</v>
      </c>
      <c r="J11" s="370" t="s">
        <v>66</v>
      </c>
      <c r="K11" s="370" t="s">
        <v>67</v>
      </c>
      <c r="L11" s="370" t="s">
        <v>67</v>
      </c>
      <c r="M11" s="370"/>
      <c r="N11" s="370" t="s">
        <v>65</v>
      </c>
      <c r="O11" s="370" t="s">
        <v>69</v>
      </c>
      <c r="P11" s="370" t="s">
        <v>2041</v>
      </c>
      <c r="Q11" s="370" t="s">
        <v>2558</v>
      </c>
      <c r="R11" s="370" t="s">
        <v>90</v>
      </c>
      <c r="S11" s="370" t="s">
        <v>90</v>
      </c>
      <c r="T11" s="370" t="s">
        <v>90</v>
      </c>
      <c r="U11" s="370" t="s">
        <v>90</v>
      </c>
      <c r="V11" s="370" t="s">
        <v>90</v>
      </c>
      <c r="W11" s="370" t="s">
        <v>90</v>
      </c>
      <c r="X11" s="370"/>
      <c r="Y11" s="370" t="s">
        <v>90</v>
      </c>
      <c r="Z11" s="370" t="s">
        <v>90</v>
      </c>
      <c r="AA11" s="370" t="s">
        <v>90</v>
      </c>
      <c r="AB11" s="370"/>
    </row>
    <row r="12" spans="1:28" ht="27" customHeight="1" x14ac:dyDescent="0.3">
      <c r="B12" s="566"/>
      <c r="C12" s="432" t="s">
        <v>354</v>
      </c>
      <c r="D12" s="79" t="s">
        <v>1373</v>
      </c>
      <c r="E12" s="432" t="s">
        <v>661</v>
      </c>
      <c r="F12" s="432" t="s">
        <v>602</v>
      </c>
      <c r="G12" s="370" t="s">
        <v>63</v>
      </c>
      <c r="H12" s="371" t="s">
        <v>77</v>
      </c>
      <c r="I12" s="370" t="s">
        <v>65</v>
      </c>
      <c r="J12" s="370" t="s">
        <v>66</v>
      </c>
      <c r="K12" s="370" t="s">
        <v>67</v>
      </c>
      <c r="L12" s="370" t="s">
        <v>67</v>
      </c>
      <c r="M12" s="370"/>
      <c r="N12" s="370" t="s">
        <v>65</v>
      </c>
      <c r="O12" s="370" t="s">
        <v>69</v>
      </c>
      <c r="P12" s="370" t="s">
        <v>2041</v>
      </c>
      <c r="Q12" s="370" t="s">
        <v>2558</v>
      </c>
      <c r="R12" s="370" t="s">
        <v>90</v>
      </c>
      <c r="S12" s="370" t="s">
        <v>90</v>
      </c>
      <c r="T12" s="370" t="s">
        <v>90</v>
      </c>
      <c r="U12" s="370" t="s">
        <v>90</v>
      </c>
      <c r="V12" s="370" t="s">
        <v>90</v>
      </c>
      <c r="W12" s="370" t="s">
        <v>90</v>
      </c>
      <c r="X12" s="370"/>
      <c r="Y12" s="370" t="s">
        <v>90</v>
      </c>
      <c r="Z12" s="370" t="s">
        <v>90</v>
      </c>
      <c r="AA12" s="370" t="s">
        <v>90</v>
      </c>
      <c r="AB12" s="370"/>
    </row>
    <row r="13" spans="1:28" ht="27" customHeight="1" x14ac:dyDescent="0.3">
      <c r="B13" s="566"/>
      <c r="C13" s="432" t="s">
        <v>355</v>
      </c>
      <c r="D13" s="79" t="s">
        <v>1383</v>
      </c>
      <c r="E13" s="432" t="s">
        <v>601</v>
      </c>
      <c r="F13" s="432" t="s">
        <v>602</v>
      </c>
      <c r="G13" s="370" t="s">
        <v>63</v>
      </c>
      <c r="H13" s="371" t="s">
        <v>77</v>
      </c>
      <c r="I13" s="370" t="s">
        <v>65</v>
      </c>
      <c r="J13" s="370" t="s">
        <v>66</v>
      </c>
      <c r="K13" s="370" t="s">
        <v>67</v>
      </c>
      <c r="L13" s="370" t="s">
        <v>67</v>
      </c>
      <c r="M13" s="370"/>
      <c r="N13" s="370" t="s">
        <v>65</v>
      </c>
      <c r="O13" s="370" t="s">
        <v>69</v>
      </c>
      <c r="P13" s="370" t="s">
        <v>2041</v>
      </c>
      <c r="Q13" s="370" t="s">
        <v>2558</v>
      </c>
      <c r="R13" s="370" t="s">
        <v>90</v>
      </c>
      <c r="S13" s="370" t="s">
        <v>90</v>
      </c>
      <c r="T13" s="370" t="s">
        <v>90</v>
      </c>
      <c r="U13" s="370" t="s">
        <v>90</v>
      </c>
      <c r="V13" s="370" t="s">
        <v>90</v>
      </c>
      <c r="W13" s="370" t="s">
        <v>90</v>
      </c>
      <c r="X13" s="370"/>
      <c r="Y13" s="370" t="s">
        <v>90</v>
      </c>
      <c r="Z13" s="370" t="s">
        <v>90</v>
      </c>
      <c r="AA13" s="370" t="s">
        <v>90</v>
      </c>
      <c r="AB13" s="370"/>
    </row>
    <row r="14" spans="1:28" ht="27" customHeight="1" x14ac:dyDescent="0.3">
      <c r="B14" s="566"/>
      <c r="C14" s="432" t="s">
        <v>356</v>
      </c>
      <c r="D14" s="79" t="s">
        <v>1393</v>
      </c>
      <c r="E14" s="432" t="s">
        <v>601</v>
      </c>
      <c r="F14" s="432" t="s">
        <v>602</v>
      </c>
      <c r="G14" s="370" t="s">
        <v>90</v>
      </c>
      <c r="H14" s="371" t="s">
        <v>77</v>
      </c>
      <c r="I14" s="370" t="s">
        <v>90</v>
      </c>
      <c r="J14" s="370" t="s">
        <v>66</v>
      </c>
      <c r="K14" s="370" t="s">
        <v>67</v>
      </c>
      <c r="L14" s="370" t="s">
        <v>67</v>
      </c>
      <c r="M14" s="370"/>
      <c r="N14" s="370" t="s">
        <v>90</v>
      </c>
      <c r="O14" s="370" t="s">
        <v>69</v>
      </c>
      <c r="P14" s="370" t="s">
        <v>2041</v>
      </c>
      <c r="Q14" s="370" t="s">
        <v>2558</v>
      </c>
      <c r="R14" s="370" t="s">
        <v>90</v>
      </c>
      <c r="S14" s="370" t="s">
        <v>90</v>
      </c>
      <c r="T14" s="370" t="s">
        <v>90</v>
      </c>
      <c r="U14" s="370" t="s">
        <v>90</v>
      </c>
      <c r="V14" s="370" t="s">
        <v>90</v>
      </c>
      <c r="W14" s="370" t="s">
        <v>90</v>
      </c>
      <c r="X14" s="370"/>
      <c r="Y14" s="370" t="s">
        <v>90</v>
      </c>
      <c r="Z14" s="370" t="s">
        <v>90</v>
      </c>
      <c r="AA14" s="370" t="s">
        <v>90</v>
      </c>
      <c r="AB14" s="370"/>
    </row>
    <row r="15" spans="1:28" ht="27" customHeight="1" x14ac:dyDescent="0.3">
      <c r="B15" s="566"/>
      <c r="C15" s="432" t="s">
        <v>357</v>
      </c>
      <c r="D15" s="79" t="s">
        <v>1403</v>
      </c>
      <c r="E15" s="432" t="s">
        <v>601</v>
      </c>
      <c r="F15" s="432" t="s">
        <v>602</v>
      </c>
      <c r="G15" s="370" t="s">
        <v>63</v>
      </c>
      <c r="H15" s="371" t="s">
        <v>77</v>
      </c>
      <c r="I15" s="370" t="s">
        <v>65</v>
      </c>
      <c r="J15" s="370" t="s">
        <v>66</v>
      </c>
      <c r="K15" s="370" t="s">
        <v>67</v>
      </c>
      <c r="L15" s="370" t="s">
        <v>67</v>
      </c>
      <c r="M15" s="370"/>
      <c r="N15" s="370" t="s">
        <v>65</v>
      </c>
      <c r="O15" s="370" t="s">
        <v>69</v>
      </c>
      <c r="P15" s="370" t="s">
        <v>2041</v>
      </c>
      <c r="Q15" s="370" t="s">
        <v>2558</v>
      </c>
      <c r="R15" s="370" t="s">
        <v>90</v>
      </c>
      <c r="S15" s="370" t="s">
        <v>90</v>
      </c>
      <c r="T15" s="370" t="s">
        <v>90</v>
      </c>
      <c r="U15" s="370" t="s">
        <v>90</v>
      </c>
      <c r="V15" s="370" t="s">
        <v>90</v>
      </c>
      <c r="W15" s="370" t="s">
        <v>90</v>
      </c>
      <c r="X15" s="370"/>
      <c r="Y15" s="370" t="s">
        <v>90</v>
      </c>
      <c r="Z15" s="370" t="s">
        <v>90</v>
      </c>
      <c r="AA15" s="370" t="s">
        <v>90</v>
      </c>
      <c r="AB15" s="370"/>
    </row>
    <row r="16" spans="1:28" ht="27" customHeight="1" x14ac:dyDescent="0.3">
      <c r="B16" s="79" t="s">
        <v>140</v>
      </c>
      <c r="C16" s="432" t="s">
        <v>358</v>
      </c>
      <c r="D16" s="79" t="s">
        <v>1416</v>
      </c>
      <c r="E16" s="432" t="s">
        <v>638</v>
      </c>
      <c r="F16" s="432" t="s">
        <v>602</v>
      </c>
      <c r="G16" s="370" t="s">
        <v>63</v>
      </c>
      <c r="H16" s="371" t="s">
        <v>77</v>
      </c>
      <c r="I16" s="370" t="s">
        <v>65</v>
      </c>
      <c r="J16" s="370" t="s">
        <v>66</v>
      </c>
      <c r="K16" s="370" t="s">
        <v>67</v>
      </c>
      <c r="L16" s="370" t="s">
        <v>67</v>
      </c>
      <c r="M16" s="370" t="s">
        <v>68</v>
      </c>
      <c r="N16" s="370" t="s">
        <v>65</v>
      </c>
      <c r="O16" s="370" t="s">
        <v>69</v>
      </c>
      <c r="P16" s="370" t="s">
        <v>2041</v>
      </c>
      <c r="Q16" s="370" t="s">
        <v>2558</v>
      </c>
      <c r="R16" s="370" t="s">
        <v>63</v>
      </c>
      <c r="S16" s="371" t="s">
        <v>77</v>
      </c>
      <c r="T16" s="370" t="s">
        <v>65</v>
      </c>
      <c r="U16" s="370" t="s">
        <v>66</v>
      </c>
      <c r="V16" s="370" t="s">
        <v>67</v>
      </c>
      <c r="W16" s="370" t="s">
        <v>67</v>
      </c>
      <c r="X16" s="370" t="s">
        <v>68</v>
      </c>
      <c r="Y16" s="370" t="s">
        <v>65</v>
      </c>
      <c r="Z16" s="370" t="s">
        <v>69</v>
      </c>
      <c r="AA16" s="370" t="s">
        <v>2559</v>
      </c>
      <c r="AB16" s="370" t="s">
        <v>1945</v>
      </c>
    </row>
    <row r="17" spans="2:5" x14ac:dyDescent="0.3">
      <c r="B17" s="380"/>
    </row>
    <row r="18" spans="2:5" ht="15" thickBot="1" x14ac:dyDescent="0.35"/>
    <row r="19" spans="2:5" x14ac:dyDescent="0.3">
      <c r="B19" s="372" t="s">
        <v>2546</v>
      </c>
      <c r="C19" s="373" t="s">
        <v>2547</v>
      </c>
      <c r="D19" s="374" t="s">
        <v>2548</v>
      </c>
    </row>
    <row r="20" spans="2:5" x14ac:dyDescent="0.3">
      <c r="B20" s="375" t="s">
        <v>30</v>
      </c>
      <c r="C20" t="s">
        <v>1839</v>
      </c>
      <c r="D20" s="376" t="s">
        <v>2549</v>
      </c>
      <c r="E20" t="s">
        <v>1798</v>
      </c>
    </row>
    <row r="21" spans="2:5" x14ac:dyDescent="0.3">
      <c r="B21" s="375" t="s">
        <v>31</v>
      </c>
      <c r="C21" t="s">
        <v>1840</v>
      </c>
      <c r="D21" s="376" t="s">
        <v>2550</v>
      </c>
      <c r="E21" t="s">
        <v>1798</v>
      </c>
    </row>
    <row r="22" spans="2:5" x14ac:dyDescent="0.3">
      <c r="B22" s="375" t="s">
        <v>32</v>
      </c>
      <c r="C22" t="s">
        <v>1841</v>
      </c>
      <c r="D22" s="376" t="s">
        <v>2551</v>
      </c>
      <c r="E22" t="s">
        <v>1798</v>
      </c>
    </row>
    <row r="23" spans="2:5" x14ac:dyDescent="0.3">
      <c r="B23" s="375" t="s">
        <v>33</v>
      </c>
      <c r="C23" t="s">
        <v>1842</v>
      </c>
      <c r="D23" s="376" t="s">
        <v>2552</v>
      </c>
      <c r="E23" t="s">
        <v>1798</v>
      </c>
    </row>
    <row r="24" spans="2:5" x14ac:dyDescent="0.3">
      <c r="B24" s="375" t="s">
        <v>34</v>
      </c>
      <c r="C24" t="s">
        <v>1843</v>
      </c>
      <c r="D24" s="376" t="s">
        <v>2553</v>
      </c>
      <c r="E24" t="s">
        <v>1798</v>
      </c>
    </row>
    <row r="25" spans="2:5" x14ac:dyDescent="0.3">
      <c r="B25" s="375" t="s">
        <v>35</v>
      </c>
      <c r="C25" t="s">
        <v>1844</v>
      </c>
      <c r="D25" s="376" t="s">
        <v>2554</v>
      </c>
      <c r="E25" t="s">
        <v>1798</v>
      </c>
    </row>
    <row r="26" spans="2:5" x14ac:dyDescent="0.3">
      <c r="B26" s="375" t="s">
        <v>36</v>
      </c>
      <c r="C26" s="300" t="s">
        <v>1845</v>
      </c>
      <c r="D26" s="376"/>
    </row>
    <row r="27" spans="2:5" x14ac:dyDescent="0.3">
      <c r="B27" s="375" t="s">
        <v>37</v>
      </c>
      <c r="C27" t="s">
        <v>1846</v>
      </c>
      <c r="D27" s="376" t="s">
        <v>2555</v>
      </c>
      <c r="E27" t="s">
        <v>1798</v>
      </c>
    </row>
    <row r="28" spans="2:5" ht="15" thickBot="1" x14ac:dyDescent="0.35">
      <c r="B28" s="375" t="s">
        <v>38</v>
      </c>
      <c r="C28" s="378" t="s">
        <v>1847</v>
      </c>
      <c r="D28" s="379" t="s">
        <v>2556</v>
      </c>
      <c r="E28" t="s">
        <v>1798</v>
      </c>
    </row>
  </sheetData>
  <protectedRanges>
    <protectedRange algorithmName="SHA-512" hashValue="h8lfHTpgu9sjZ5FD0TFTRW4XK4YjJlAc8LZdVTUDTQhNn0cZfXCRaOK5xKDI8TeiI4TEpREutu47LsJax8qmVQ==" saltValue="45vNl5eoNL6jcuPRFWVeJA==" spinCount="100000" sqref="P9:Q16" name="Trimestre1_2"/>
    <protectedRange algorithmName="SHA-512" hashValue="/FuuMS3bGaCiHkeKhejoTbuKloDettmow+jAdK04mlTRCr306syv/mgc7i7KY9N3bEb4zcozKro3ZWG7j4F+bQ==" saltValue="5/e4EmDDqTu6D06OfqgyAg==" spinCount="100000" sqref="AA9:AB10 AB11:AB15" name="Trimestre2_2"/>
    <protectedRange algorithmName="SHA-512" hashValue="h8lfHTpgu9sjZ5FD0TFTRW4XK4YjJlAc8LZdVTUDTQhNn0cZfXCRaOK5xKDI8TeiI4TEpREutu47LsJax8qmVQ==" saltValue="45vNl5eoNL6jcuPRFWVeJA==" spinCount="100000" sqref="G9:O16" name="Trimestre1_2_4"/>
    <protectedRange algorithmName="SHA-512" hashValue="h8lfHTpgu9sjZ5FD0TFTRW4XK4YjJlAc8LZdVTUDTQhNn0cZfXCRaOK5xKDI8TeiI4TEpREutu47LsJax8qmVQ==" saltValue="45vNl5eoNL6jcuPRFWVeJA==" spinCount="100000" sqref="R9:Z15 AA11:AA15" name="Trimestre1_2_4_1"/>
    <protectedRange algorithmName="SHA-512" hashValue="/FuuMS3bGaCiHkeKhejoTbuKloDettmow+jAdK04mlTRCr306syv/mgc7i7KY9N3bEb4zcozKro3ZWG7j4F+bQ==" saltValue="5/e4EmDDqTu6D06OfqgyAg==" spinCount="100000" sqref="AA16:AB16" name="Trimestre2_2_1"/>
    <protectedRange algorithmName="SHA-512" hashValue="h8lfHTpgu9sjZ5FD0TFTRW4XK4YjJlAc8LZdVTUDTQhNn0cZfXCRaOK5xKDI8TeiI4TEpREutu47LsJax8qmVQ==" saltValue="45vNl5eoNL6jcuPRFWVeJA==" spinCount="100000" sqref="R16:Z16" name="Trimestre1_2_4_2"/>
  </protectedRanges>
  <mergeCells count="6">
    <mergeCell ref="B1:D1"/>
    <mergeCell ref="F7:P7"/>
    <mergeCell ref="Q7:AA7"/>
    <mergeCell ref="B9:B10"/>
    <mergeCell ref="B11:B15"/>
    <mergeCell ref="B2:D2"/>
  </mergeCells>
  <dataValidations count="8">
    <dataValidation type="list" allowBlank="1" showInputMessage="1" showErrorMessage="1" prompt="Corresponde a los ID de los indicadores del Proyecto de Inversión" sqref="C11:C15" xr:uid="{00000000-0002-0000-1000-000000000000}">
      <formula1>INDIRECT(#REF!)</formula1>
    </dataValidation>
    <dataValidation allowBlank="1" showInputMessage="1" showErrorMessage="1" prompt="Corresponde a la tendencia anual del indicador" sqref="E9:E16" xr:uid="{00000000-0002-0000-1000-000001000000}"/>
    <dataValidation allowBlank="1" showInputMessage="1" showErrorMessage="1" prompt="Corresponde a la unidad de medida del indicador" sqref="F9:F16" xr:uid="{00000000-0002-0000-1000-000002000000}"/>
    <dataValidation allowBlank="1" showInputMessage="1" showErrorMessage="1" prompt="Corresponde a los nombres de los indicadores del Proyecto de Inversión" sqref="D9:D16" xr:uid="{00000000-0002-0000-1000-000003000000}"/>
    <dataValidation type="textLength" operator="lessThanOrEqual" allowBlank="1" showInputMessage="1" showErrorMessage="1" sqref="AA9:AA10 AA16" xr:uid="{00000000-0002-0000-1000-000004000000}">
      <formula1>1000</formula1>
    </dataValidation>
    <dataValidation type="textLength" allowBlank="1" showInputMessage="1" showErrorMessage="1" sqref="Q9:Q16 AB9:AB16" xr:uid="{00000000-0002-0000-1000-000005000000}">
      <formula1>2</formula1>
      <formula2>50</formula2>
    </dataValidation>
    <dataValidation type="list" allowBlank="1" showInputMessage="1" showErrorMessage="1" prompt="Corresponde a los ID de los indicadores del Proyecto de Inversión" sqref="C16" xr:uid="{00000000-0002-0000-1000-000006000000}">
      <formula1>INDIRECT($A$18)</formula1>
    </dataValidation>
    <dataValidation type="list" allowBlank="1" showInputMessage="1" showErrorMessage="1" prompt="Corresponde a los ID de los indicadores del Proyecto de Inversión" sqref="C9:C10" xr:uid="{00000000-0002-0000-1000-000007000000}">
      <formula1>INDIRECT($A$15)</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000-000008000000}">
          <x14:formula1>
            <xm:f>Listas!$P$5:$P$7</xm:f>
          </x14:formula1>
          <xm:sqref>G9:G16 R9:R16 S11:W15 Y11:AA15</xm:sqref>
        </x14:dataValidation>
        <x14:dataValidation type="list" allowBlank="1" showInputMessage="1" showErrorMessage="1" xr:uid="{00000000-0002-0000-1000-000009000000}">
          <x14:formula1>
            <xm:f>Listas!$Q$5:$Q$11</xm:f>
          </x14:formula1>
          <xm:sqref>H9:H16 S9:S10 S16</xm:sqref>
        </x14:dataValidation>
        <x14:dataValidation type="list" allowBlank="1" showInputMessage="1" showErrorMessage="1" xr:uid="{00000000-0002-0000-1000-00000A000000}">
          <x14:formula1>
            <xm:f>Listas!$R$5:$R$8</xm:f>
          </x14:formula1>
          <xm:sqref>I9:I16 T9:T10 T16</xm:sqref>
        </x14:dataValidation>
        <x14:dataValidation type="list" allowBlank="1" showInputMessage="1" showErrorMessage="1" xr:uid="{00000000-0002-0000-1000-00000B000000}">
          <x14:formula1>
            <xm:f>Listas!$S$5:$S$8</xm:f>
          </x14:formula1>
          <xm:sqref>J9:J16 U9:U10 U16</xm:sqref>
        </x14:dataValidation>
        <x14:dataValidation type="list" allowBlank="1" showInputMessage="1" showErrorMessage="1" xr:uid="{00000000-0002-0000-1000-00000C000000}">
          <x14:formula1>
            <xm:f>Listas!$T$5:$T$8</xm:f>
          </x14:formula1>
          <xm:sqref>K9:K16 V9:V10 V16</xm:sqref>
        </x14:dataValidation>
        <x14:dataValidation type="list" allowBlank="1" showInputMessage="1" showErrorMessage="1" xr:uid="{00000000-0002-0000-1000-00000D000000}">
          <x14:formula1>
            <xm:f>Listas!$U$5:$U$8</xm:f>
          </x14:formula1>
          <xm:sqref>L9:L16 W9:W10 W16</xm:sqref>
        </x14:dataValidation>
        <x14:dataValidation type="list" allowBlank="1" showInputMessage="1" showErrorMessage="1" xr:uid="{00000000-0002-0000-1000-00000E000000}">
          <x14:formula1>
            <xm:f>Listas!$V$5:$V$8</xm:f>
          </x14:formula1>
          <xm:sqref>M9:M16 X9:X16</xm:sqref>
        </x14:dataValidation>
        <x14:dataValidation type="list" allowBlank="1" showInputMessage="1" showErrorMessage="1" xr:uid="{00000000-0002-0000-1000-00000F000000}">
          <x14:formula1>
            <xm:f>Listas!$W$5:$W$8</xm:f>
          </x14:formula1>
          <xm:sqref>N9:N16 Y9:Y10 Y16</xm:sqref>
        </x14:dataValidation>
        <x14:dataValidation type="list" allowBlank="1" showInputMessage="1" showErrorMessage="1" xr:uid="{00000000-0002-0000-1000-000010000000}">
          <x14:formula1>
            <xm:f>Listas!$X$5:$X$6</xm:f>
          </x14:formula1>
          <xm:sqref>O9:O16 Z9:Z10 Z16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33"/>
  <sheetViews>
    <sheetView topLeftCell="N7" workbookViewId="0">
      <selection activeCell="T11" sqref="T11"/>
    </sheetView>
  </sheetViews>
  <sheetFormatPr baseColWidth="10" defaultColWidth="11.44140625" defaultRowHeight="14.4" x14ac:dyDescent="0.3"/>
  <cols>
    <col min="1" max="1" width="3.109375" customWidth="1"/>
    <col min="2" max="2" width="29.44140625" bestFit="1" customWidth="1"/>
    <col min="3" max="3" width="27.33203125" customWidth="1"/>
    <col min="4" max="4" width="87.109375" customWidth="1"/>
    <col min="5" max="5" width="27.44140625" customWidth="1"/>
    <col min="6" max="6" width="24" customWidth="1"/>
    <col min="17" max="17" width="27.33203125" customWidth="1"/>
    <col min="27" max="27" width="17.33203125" bestFit="1" customWidth="1"/>
  </cols>
  <sheetData>
    <row r="1" spans="1:28" ht="23.4" x14ac:dyDescent="0.45">
      <c r="B1" s="632" t="s">
        <v>2531</v>
      </c>
      <c r="C1" s="633"/>
      <c r="D1" s="603"/>
      <c r="E1" s="15"/>
      <c r="F1" s="15"/>
      <c r="G1" s="15"/>
      <c r="H1" s="15"/>
      <c r="I1" s="120" t="s">
        <v>496</v>
      </c>
      <c r="J1" s="120" t="s">
        <v>497</v>
      </c>
      <c r="K1" s="120" t="s">
        <v>498</v>
      </c>
      <c r="L1" s="120" t="s">
        <v>499</v>
      </c>
      <c r="M1" s="120" t="s">
        <v>500</v>
      </c>
      <c r="N1" s="120" t="s">
        <v>2532</v>
      </c>
      <c r="O1" s="120" t="s">
        <v>501</v>
      </c>
      <c r="P1" s="120" t="s">
        <v>502</v>
      </c>
      <c r="Q1" s="120" t="s">
        <v>503</v>
      </c>
      <c r="R1" s="120" t="s">
        <v>504</v>
      </c>
      <c r="S1" s="120" t="s">
        <v>506</v>
      </c>
      <c r="T1" s="120" t="s">
        <v>507</v>
      </c>
      <c r="U1" s="120" t="s">
        <v>508</v>
      </c>
      <c r="V1" s="120" t="s">
        <v>509</v>
      </c>
      <c r="W1" s="120" t="s">
        <v>510</v>
      </c>
      <c r="X1" s="120" t="s">
        <v>511</v>
      </c>
      <c r="Y1" s="120" t="s">
        <v>2533</v>
      </c>
      <c r="Z1" s="120" t="s">
        <v>512</v>
      </c>
      <c r="AA1" s="120" t="s">
        <v>513</v>
      </c>
      <c r="AB1" s="120" t="s">
        <v>514</v>
      </c>
    </row>
    <row r="2" spans="1:28" s="15" customFormat="1" x14ac:dyDescent="0.3">
      <c r="B2" s="636" t="s">
        <v>11</v>
      </c>
      <c r="C2" s="637"/>
      <c r="D2" s="638"/>
    </row>
    <row r="3" spans="1:28" s="15" customFormat="1" x14ac:dyDescent="0.3"/>
    <row r="4" spans="1:28" s="15" customFormat="1" x14ac:dyDescent="0.3"/>
    <row r="5" spans="1:28" s="15" customFormat="1" x14ac:dyDescent="0.3"/>
    <row r="6" spans="1:28" s="15" customFormat="1" x14ac:dyDescent="0.3"/>
    <row r="7" spans="1:28" ht="15" thickBot="1" x14ac:dyDescent="0.35">
      <c r="B7" s="15"/>
      <c r="C7" s="15"/>
      <c r="D7" s="15"/>
      <c r="E7" s="15"/>
      <c r="F7" s="634" t="s">
        <v>2534</v>
      </c>
      <c r="G7" s="634"/>
      <c r="H7" s="634"/>
      <c r="I7" s="634"/>
      <c r="J7" s="634"/>
      <c r="K7" s="634"/>
      <c r="L7" s="634"/>
      <c r="M7" s="634"/>
      <c r="N7" s="634"/>
      <c r="O7" s="634"/>
      <c r="P7" s="634"/>
      <c r="Q7" s="635" t="s">
        <v>2535</v>
      </c>
      <c r="R7" s="635"/>
      <c r="S7" s="635"/>
      <c r="T7" s="635"/>
      <c r="U7" s="635"/>
      <c r="V7" s="635"/>
      <c r="W7" s="635"/>
      <c r="X7" s="635"/>
      <c r="Y7" s="635"/>
      <c r="Z7" s="635"/>
      <c r="AA7" s="635"/>
      <c r="AB7" s="444"/>
    </row>
    <row r="8" spans="1:28" x14ac:dyDescent="0.3">
      <c r="B8" s="367" t="s">
        <v>1868</v>
      </c>
      <c r="C8" s="367" t="s">
        <v>2536</v>
      </c>
      <c r="D8" s="367" t="s">
        <v>541</v>
      </c>
      <c r="E8" s="368" t="s">
        <v>544</v>
      </c>
      <c r="F8" s="368" t="s">
        <v>413</v>
      </c>
      <c r="G8" s="369" t="s">
        <v>30</v>
      </c>
      <c r="H8" s="369" t="s">
        <v>31</v>
      </c>
      <c r="I8" s="369" t="s">
        <v>32</v>
      </c>
      <c r="J8" s="369" t="s">
        <v>33</v>
      </c>
      <c r="K8" s="369" t="s">
        <v>34</v>
      </c>
      <c r="L8" s="369" t="s">
        <v>35</v>
      </c>
      <c r="M8" s="369" t="s">
        <v>36</v>
      </c>
      <c r="N8" s="369" t="s">
        <v>37</v>
      </c>
      <c r="O8" s="369" t="s">
        <v>38</v>
      </c>
      <c r="P8" s="369" t="s">
        <v>1848</v>
      </c>
      <c r="Q8" s="369" t="s">
        <v>1850</v>
      </c>
      <c r="R8" s="369" t="s">
        <v>30</v>
      </c>
      <c r="S8" s="369" t="s">
        <v>31</v>
      </c>
      <c r="T8" s="369" t="s">
        <v>32</v>
      </c>
      <c r="U8" s="369" t="s">
        <v>33</v>
      </c>
      <c r="V8" s="369" t="s">
        <v>34</v>
      </c>
      <c r="W8" s="369" t="s">
        <v>35</v>
      </c>
      <c r="X8" s="369" t="s">
        <v>36</v>
      </c>
      <c r="Y8" s="369" t="s">
        <v>37</v>
      </c>
      <c r="Z8" s="369" t="s">
        <v>38</v>
      </c>
      <c r="AA8" s="369" t="s">
        <v>1848</v>
      </c>
      <c r="AB8" s="369" t="s">
        <v>1850</v>
      </c>
    </row>
    <row r="9" spans="1:28" ht="27" customHeight="1" x14ac:dyDescent="0.3">
      <c r="A9" s="92" t="str">
        <f>+VLOOKUP(B9,responsables,8,0)</f>
        <v>arc</v>
      </c>
      <c r="B9" s="79" t="s">
        <v>93</v>
      </c>
      <c r="C9" s="432" t="s">
        <v>360</v>
      </c>
      <c r="D9" s="79" t="s">
        <v>1426</v>
      </c>
      <c r="E9" s="432" t="s">
        <v>601</v>
      </c>
      <c r="F9" s="432" t="s">
        <v>602</v>
      </c>
      <c r="G9" s="370" t="s">
        <v>63</v>
      </c>
      <c r="H9" s="371" t="s">
        <v>77</v>
      </c>
      <c r="I9" s="370" t="s">
        <v>65</v>
      </c>
      <c r="J9" s="370" t="s">
        <v>66</v>
      </c>
      <c r="K9" s="370" t="s">
        <v>67</v>
      </c>
      <c r="L9" s="370" t="s">
        <v>90</v>
      </c>
      <c r="M9" s="370" t="s">
        <v>68</v>
      </c>
      <c r="N9" s="370" t="s">
        <v>65</v>
      </c>
      <c r="O9" s="370" t="s">
        <v>69</v>
      </c>
      <c r="P9" s="370" t="s">
        <v>90</v>
      </c>
      <c r="Q9" s="370" t="s">
        <v>2560</v>
      </c>
      <c r="R9" s="370" t="s">
        <v>90</v>
      </c>
      <c r="S9" s="371" t="s">
        <v>77</v>
      </c>
      <c r="T9" s="370" t="s">
        <v>65</v>
      </c>
      <c r="U9" s="370" t="s">
        <v>66</v>
      </c>
      <c r="V9" s="370" t="s">
        <v>67</v>
      </c>
      <c r="W9" s="370" t="s">
        <v>90</v>
      </c>
      <c r="X9" s="370" t="s">
        <v>68</v>
      </c>
      <c r="Y9" s="370" t="s">
        <v>65</v>
      </c>
      <c r="Z9" s="370" t="s">
        <v>69</v>
      </c>
      <c r="AA9" s="370" t="s">
        <v>90</v>
      </c>
      <c r="AB9" s="370" t="s">
        <v>2560</v>
      </c>
    </row>
    <row r="10" spans="1:28" ht="27" customHeight="1" x14ac:dyDescent="0.3">
      <c r="B10" s="79" t="s">
        <v>179</v>
      </c>
      <c r="C10" s="432">
        <v>21</v>
      </c>
      <c r="D10" s="79" t="s">
        <v>1509</v>
      </c>
      <c r="E10" s="432" t="s">
        <v>601</v>
      </c>
      <c r="F10" s="432" t="s">
        <v>602</v>
      </c>
      <c r="G10" s="370" t="s">
        <v>63</v>
      </c>
      <c r="H10" s="371" t="s">
        <v>91</v>
      </c>
      <c r="I10" s="370" t="s">
        <v>65</v>
      </c>
      <c r="J10" s="370" t="s">
        <v>66</v>
      </c>
      <c r="K10" s="370" t="s">
        <v>67</v>
      </c>
      <c r="L10" s="370" t="s">
        <v>67</v>
      </c>
      <c r="M10" s="370" t="s">
        <v>68</v>
      </c>
      <c r="N10" s="370" t="s">
        <v>65</v>
      </c>
      <c r="O10" s="370" t="s">
        <v>69</v>
      </c>
      <c r="P10" s="385" t="s">
        <v>2561</v>
      </c>
      <c r="Q10" s="370" t="s">
        <v>2560</v>
      </c>
      <c r="R10" s="370" t="s">
        <v>63</v>
      </c>
      <c r="S10" s="371" t="s">
        <v>91</v>
      </c>
      <c r="T10" s="370" t="s">
        <v>65</v>
      </c>
      <c r="U10" s="370" t="s">
        <v>66</v>
      </c>
      <c r="V10" s="370" t="s">
        <v>67</v>
      </c>
      <c r="W10" s="370" t="s">
        <v>67</v>
      </c>
      <c r="X10" s="370" t="s">
        <v>68</v>
      </c>
      <c r="Y10" s="370" t="s">
        <v>65</v>
      </c>
      <c r="Z10" s="370" t="s">
        <v>69</v>
      </c>
      <c r="AA10" s="385" t="s">
        <v>2562</v>
      </c>
      <c r="AB10" s="370" t="s">
        <v>2560</v>
      </c>
    </row>
    <row r="11" spans="1:28" ht="27" customHeight="1" x14ac:dyDescent="0.3">
      <c r="B11" s="79" t="s">
        <v>175</v>
      </c>
      <c r="C11" s="432">
        <v>22</v>
      </c>
      <c r="D11" s="79" t="s">
        <v>1500</v>
      </c>
      <c r="E11" s="432" t="s">
        <v>601</v>
      </c>
      <c r="F11" s="432" t="s">
        <v>602</v>
      </c>
      <c r="G11" s="370" t="s">
        <v>63</v>
      </c>
      <c r="H11" s="371" t="s">
        <v>77</v>
      </c>
      <c r="I11" s="370" t="s">
        <v>65</v>
      </c>
      <c r="J11" s="370" t="s">
        <v>66</v>
      </c>
      <c r="K11" s="370" t="s">
        <v>67</v>
      </c>
      <c r="L11" s="370" t="s">
        <v>90</v>
      </c>
      <c r="M11" s="370" t="s">
        <v>68</v>
      </c>
      <c r="N11" s="370" t="s">
        <v>65</v>
      </c>
      <c r="O11" s="370" t="s">
        <v>69</v>
      </c>
      <c r="P11" s="370" t="s">
        <v>90</v>
      </c>
      <c r="Q11" s="370" t="s">
        <v>2560</v>
      </c>
      <c r="R11" s="370" t="s">
        <v>90</v>
      </c>
      <c r="S11" s="371" t="s">
        <v>91</v>
      </c>
      <c r="T11" s="370" t="s">
        <v>65</v>
      </c>
      <c r="U11" s="370" t="s">
        <v>66</v>
      </c>
      <c r="V11" s="370" t="s">
        <v>67</v>
      </c>
      <c r="W11" s="370" t="s">
        <v>90</v>
      </c>
      <c r="X11" s="370" t="s">
        <v>68</v>
      </c>
      <c r="Y11" s="370" t="s">
        <v>65</v>
      </c>
      <c r="Z11" s="370" t="s">
        <v>69</v>
      </c>
      <c r="AA11" s="370" t="s">
        <v>90</v>
      </c>
      <c r="AB11" s="370" t="s">
        <v>2560</v>
      </c>
    </row>
    <row r="12" spans="1:28" ht="27" customHeight="1" x14ac:dyDescent="0.3">
      <c r="B12" s="566" t="s">
        <v>56</v>
      </c>
      <c r="C12" s="432" t="s">
        <v>366</v>
      </c>
      <c r="D12" s="79" t="s">
        <v>1450</v>
      </c>
      <c r="E12" s="432" t="s">
        <v>638</v>
      </c>
      <c r="F12" s="432" t="s">
        <v>639</v>
      </c>
      <c r="G12" s="370" t="s">
        <v>63</v>
      </c>
      <c r="H12" s="371" t="s">
        <v>116</v>
      </c>
      <c r="I12" s="370" t="s">
        <v>65</v>
      </c>
      <c r="J12" s="370" t="s">
        <v>66</v>
      </c>
      <c r="K12" s="370" t="s">
        <v>90</v>
      </c>
      <c r="L12" s="370" t="s">
        <v>67</v>
      </c>
      <c r="M12" s="370"/>
      <c r="N12" s="370" t="s">
        <v>65</v>
      </c>
      <c r="O12" s="370" t="s">
        <v>69</v>
      </c>
      <c r="P12" s="370" t="s">
        <v>2563</v>
      </c>
      <c r="Q12" s="370" t="s">
        <v>2558</v>
      </c>
      <c r="R12" s="370" t="s">
        <v>63</v>
      </c>
      <c r="S12" s="371" t="s">
        <v>77</v>
      </c>
      <c r="T12" s="370" t="s">
        <v>65</v>
      </c>
      <c r="U12" s="370" t="s">
        <v>66</v>
      </c>
      <c r="V12" s="370" t="s">
        <v>67</v>
      </c>
      <c r="W12" s="370" t="s">
        <v>67</v>
      </c>
      <c r="X12" s="370"/>
      <c r="Y12" s="370" t="s">
        <v>65</v>
      </c>
      <c r="Z12" s="370" t="s">
        <v>69</v>
      </c>
      <c r="AA12" s="370" t="s">
        <v>2041</v>
      </c>
      <c r="AB12" s="370" t="s">
        <v>2558</v>
      </c>
    </row>
    <row r="13" spans="1:28" ht="27" customHeight="1" x14ac:dyDescent="0.3">
      <c r="B13" s="566"/>
      <c r="C13" s="432" t="s">
        <v>367</v>
      </c>
      <c r="D13" s="79" t="s">
        <v>1460</v>
      </c>
      <c r="E13" s="432" t="s">
        <v>638</v>
      </c>
      <c r="F13" s="432" t="s">
        <v>639</v>
      </c>
      <c r="G13" s="370" t="s">
        <v>63</v>
      </c>
      <c r="H13" s="371" t="s">
        <v>116</v>
      </c>
      <c r="I13" s="370" t="s">
        <v>65</v>
      </c>
      <c r="J13" s="370" t="s">
        <v>66</v>
      </c>
      <c r="K13" s="370" t="s">
        <v>90</v>
      </c>
      <c r="L13" s="370" t="s">
        <v>67</v>
      </c>
      <c r="M13" s="370"/>
      <c r="N13" s="370" t="s">
        <v>65</v>
      </c>
      <c r="O13" s="370" t="s">
        <v>69</v>
      </c>
      <c r="P13" s="370" t="s">
        <v>2563</v>
      </c>
      <c r="Q13" s="370" t="s">
        <v>2558</v>
      </c>
      <c r="R13" s="370" t="s">
        <v>63</v>
      </c>
      <c r="S13" s="371" t="s">
        <v>77</v>
      </c>
      <c r="T13" s="370" t="s">
        <v>65</v>
      </c>
      <c r="U13" s="370" t="s">
        <v>66</v>
      </c>
      <c r="V13" s="370" t="s">
        <v>67</v>
      </c>
      <c r="W13" s="370" t="s">
        <v>67</v>
      </c>
      <c r="X13" s="370"/>
      <c r="Y13" s="370" t="s">
        <v>65</v>
      </c>
      <c r="Z13" s="370" t="s">
        <v>69</v>
      </c>
      <c r="AA13" s="370" t="s">
        <v>2041</v>
      </c>
      <c r="AB13" s="370" t="s">
        <v>2558</v>
      </c>
    </row>
    <row r="14" spans="1:28" ht="27" hidden="1" customHeight="1" x14ac:dyDescent="0.3">
      <c r="B14" s="566"/>
      <c r="C14" s="432" t="s">
        <v>368</v>
      </c>
      <c r="D14" s="79" t="s">
        <v>1469</v>
      </c>
      <c r="E14" s="432" t="s">
        <v>601</v>
      </c>
      <c r="F14" s="432" t="s">
        <v>602</v>
      </c>
      <c r="G14" s="370"/>
      <c r="H14" s="371"/>
      <c r="I14" s="370"/>
      <c r="J14" s="370" t="s">
        <v>66</v>
      </c>
      <c r="K14" s="370" t="s">
        <v>90</v>
      </c>
      <c r="L14" s="370"/>
      <c r="M14" s="370"/>
      <c r="N14" s="370" t="s">
        <v>65</v>
      </c>
      <c r="O14" s="370" t="s">
        <v>69</v>
      </c>
      <c r="P14" s="370" t="s">
        <v>2563</v>
      </c>
      <c r="Q14" s="370" t="s">
        <v>2558</v>
      </c>
      <c r="R14" s="370"/>
      <c r="S14" s="371"/>
      <c r="T14" s="370"/>
      <c r="U14" s="370"/>
      <c r="V14" s="370"/>
      <c r="W14" s="370"/>
      <c r="X14" s="370"/>
      <c r="Y14" s="370"/>
      <c r="Z14" s="370"/>
      <c r="AA14" s="370"/>
      <c r="AB14" s="370" t="s">
        <v>2558</v>
      </c>
    </row>
    <row r="15" spans="1:28" ht="27" customHeight="1" x14ac:dyDescent="0.3">
      <c r="B15" s="432" t="s">
        <v>171</v>
      </c>
      <c r="C15" s="432">
        <v>49</v>
      </c>
      <c r="D15" s="79" t="s">
        <v>1492</v>
      </c>
      <c r="E15" s="432" t="s">
        <v>638</v>
      </c>
      <c r="F15" s="432" t="s">
        <v>639</v>
      </c>
      <c r="G15" s="370" t="s">
        <v>63</v>
      </c>
      <c r="H15" s="371" t="s">
        <v>116</v>
      </c>
      <c r="I15" s="370" t="s">
        <v>65</v>
      </c>
      <c r="J15" s="370" t="s">
        <v>66</v>
      </c>
      <c r="K15" s="370" t="s">
        <v>90</v>
      </c>
      <c r="L15" s="370" t="s">
        <v>67</v>
      </c>
      <c r="M15" s="370"/>
      <c r="N15" s="370" t="s">
        <v>65</v>
      </c>
      <c r="O15" s="370" t="s">
        <v>69</v>
      </c>
      <c r="P15" s="370" t="s">
        <v>2563</v>
      </c>
      <c r="Q15" s="370" t="s">
        <v>2558</v>
      </c>
      <c r="R15" s="370" t="s">
        <v>63</v>
      </c>
      <c r="S15" s="371" t="s">
        <v>77</v>
      </c>
      <c r="T15" s="370" t="s">
        <v>65</v>
      </c>
      <c r="U15" s="370" t="s">
        <v>66</v>
      </c>
      <c r="V15" s="370" t="s">
        <v>67</v>
      </c>
      <c r="W15" s="370" t="s">
        <v>67</v>
      </c>
      <c r="X15" s="370"/>
      <c r="Y15" s="370" t="s">
        <v>65</v>
      </c>
      <c r="Z15" s="370" t="s">
        <v>69</v>
      </c>
      <c r="AA15" s="370" t="s">
        <v>2041</v>
      </c>
      <c r="AB15" s="370" t="s">
        <v>2558</v>
      </c>
    </row>
    <row r="16" spans="1:28" ht="27" customHeight="1" x14ac:dyDescent="0.3">
      <c r="B16" s="566" t="s">
        <v>99</v>
      </c>
      <c r="C16" s="432" t="s">
        <v>363</v>
      </c>
      <c r="D16" s="79" t="s">
        <v>1433</v>
      </c>
      <c r="E16" s="432" t="s">
        <v>601</v>
      </c>
      <c r="F16" s="432" t="s">
        <v>602</v>
      </c>
      <c r="G16" s="370" t="s">
        <v>63</v>
      </c>
      <c r="H16" s="371" t="s">
        <v>116</v>
      </c>
      <c r="I16" s="370" t="s">
        <v>90</v>
      </c>
      <c r="J16" s="370" t="s">
        <v>90</v>
      </c>
      <c r="K16" s="370" t="s">
        <v>90</v>
      </c>
      <c r="L16" s="370" t="s">
        <v>90</v>
      </c>
      <c r="M16" s="370"/>
      <c r="N16" s="370" t="s">
        <v>90</v>
      </c>
      <c r="O16" s="370" t="s">
        <v>69</v>
      </c>
      <c r="P16" s="370" t="s">
        <v>2564</v>
      </c>
      <c r="Q16" s="370" t="s">
        <v>2558</v>
      </c>
      <c r="R16" s="370"/>
      <c r="S16" s="371" t="s">
        <v>77</v>
      </c>
      <c r="T16" s="370" t="s">
        <v>65</v>
      </c>
      <c r="U16" s="370" t="s">
        <v>66</v>
      </c>
      <c r="V16" s="370" t="s">
        <v>67</v>
      </c>
      <c r="W16" s="370" t="s">
        <v>67</v>
      </c>
      <c r="X16" s="370"/>
      <c r="Y16" s="370" t="s">
        <v>65</v>
      </c>
      <c r="Z16" s="370" t="s">
        <v>69</v>
      </c>
      <c r="AA16" s="370" t="s">
        <v>2041</v>
      </c>
      <c r="AB16" s="370" t="s">
        <v>2558</v>
      </c>
    </row>
    <row r="17" spans="2:28" ht="27" customHeight="1" x14ac:dyDescent="0.3">
      <c r="B17" s="566"/>
      <c r="C17" s="432" t="s">
        <v>365</v>
      </c>
      <c r="D17" s="79" t="s">
        <v>1441</v>
      </c>
      <c r="E17" s="432" t="s">
        <v>601</v>
      </c>
      <c r="F17" s="432" t="s">
        <v>602</v>
      </c>
      <c r="G17" s="370" t="s">
        <v>63</v>
      </c>
      <c r="H17" s="371" t="s">
        <v>116</v>
      </c>
      <c r="I17" s="370" t="s">
        <v>90</v>
      </c>
      <c r="J17" s="370" t="s">
        <v>90</v>
      </c>
      <c r="K17" s="370" t="s">
        <v>90</v>
      </c>
      <c r="L17" s="370" t="s">
        <v>90</v>
      </c>
      <c r="M17" s="370"/>
      <c r="N17" s="370" t="s">
        <v>90</v>
      </c>
      <c r="O17" s="370" t="s">
        <v>69</v>
      </c>
      <c r="P17" s="370" t="s">
        <v>2564</v>
      </c>
      <c r="Q17" s="370" t="s">
        <v>2558</v>
      </c>
      <c r="R17" s="370"/>
      <c r="S17" s="371" t="s">
        <v>77</v>
      </c>
      <c r="T17" s="370" t="s">
        <v>65</v>
      </c>
      <c r="U17" s="370" t="s">
        <v>66</v>
      </c>
      <c r="V17" s="370" t="s">
        <v>67</v>
      </c>
      <c r="W17" s="370" t="s">
        <v>67</v>
      </c>
      <c r="X17" s="370"/>
      <c r="Y17" s="370" t="s">
        <v>65</v>
      </c>
      <c r="Z17" s="370" t="s">
        <v>69</v>
      </c>
      <c r="AA17" s="370" t="s">
        <v>2041</v>
      </c>
      <c r="AB17" s="370" t="s">
        <v>2558</v>
      </c>
    </row>
    <row r="18" spans="2:28" ht="27" hidden="1" customHeight="1" x14ac:dyDescent="0.3">
      <c r="B18" s="566" t="s">
        <v>199</v>
      </c>
      <c r="C18" s="432" t="s">
        <v>371</v>
      </c>
      <c r="D18" s="79" t="s">
        <v>2565</v>
      </c>
      <c r="E18" s="432" t="s">
        <v>638</v>
      </c>
      <c r="F18" s="432" t="s">
        <v>639</v>
      </c>
      <c r="G18" s="370"/>
      <c r="H18" s="371"/>
      <c r="I18" s="370"/>
      <c r="J18" s="370"/>
      <c r="K18" s="370"/>
      <c r="L18" s="370"/>
      <c r="M18" s="370"/>
      <c r="N18" s="370"/>
      <c r="O18" s="370"/>
      <c r="P18" s="370"/>
      <c r="Q18" s="370"/>
      <c r="R18" s="370"/>
      <c r="S18" s="371"/>
      <c r="T18" s="370"/>
      <c r="U18" s="370"/>
      <c r="V18" s="370"/>
      <c r="W18" s="370"/>
      <c r="X18" s="370"/>
      <c r="Y18" s="370"/>
      <c r="Z18" s="370"/>
      <c r="AA18" s="370"/>
      <c r="AB18" s="370"/>
    </row>
    <row r="19" spans="2:28" ht="27" hidden="1" customHeight="1" x14ac:dyDescent="0.3">
      <c r="B19" s="566"/>
      <c r="C19" s="432">
        <v>37</v>
      </c>
      <c r="D19" s="79" t="s">
        <v>2566</v>
      </c>
      <c r="E19" s="432" t="s">
        <v>661</v>
      </c>
      <c r="F19" s="432" t="s">
        <v>602</v>
      </c>
      <c r="G19" s="370"/>
      <c r="H19" s="371"/>
      <c r="I19" s="370"/>
      <c r="J19" s="370"/>
      <c r="K19" s="370"/>
      <c r="L19" s="370"/>
      <c r="M19" s="370"/>
      <c r="N19" s="370"/>
      <c r="O19" s="370"/>
      <c r="P19" s="370"/>
      <c r="Q19" s="370"/>
      <c r="R19" s="370"/>
      <c r="S19" s="371"/>
      <c r="T19" s="370"/>
      <c r="U19" s="370"/>
      <c r="V19" s="370"/>
      <c r="W19" s="370"/>
      <c r="X19" s="370"/>
      <c r="Y19" s="370"/>
      <c r="Z19" s="370"/>
      <c r="AA19" s="370"/>
      <c r="AB19" s="370"/>
    </row>
    <row r="20" spans="2:28" ht="27" hidden="1" customHeight="1" x14ac:dyDescent="0.3">
      <c r="B20" s="432" t="s">
        <v>111</v>
      </c>
      <c r="C20" s="432" t="s">
        <v>369</v>
      </c>
      <c r="D20" s="79" t="s">
        <v>1481</v>
      </c>
      <c r="E20" s="432" t="s">
        <v>638</v>
      </c>
      <c r="F20" s="432" t="s">
        <v>602</v>
      </c>
      <c r="G20" s="370"/>
      <c r="H20" s="371"/>
      <c r="I20" s="370"/>
      <c r="J20" s="370"/>
      <c r="K20" s="370"/>
      <c r="L20" s="370"/>
      <c r="M20" s="370"/>
      <c r="N20" s="370"/>
      <c r="O20" s="370"/>
      <c r="P20" s="370"/>
      <c r="Q20" s="370"/>
      <c r="R20" s="370"/>
      <c r="S20" s="371"/>
      <c r="T20" s="370"/>
      <c r="U20" s="370"/>
      <c r="V20" s="370"/>
      <c r="W20" s="370"/>
      <c r="X20" s="370"/>
      <c r="Y20" s="370"/>
      <c r="Z20" s="370"/>
      <c r="AA20" s="370"/>
      <c r="AB20" s="370"/>
    </row>
    <row r="21" spans="2:28" ht="27" customHeight="1" x14ac:dyDescent="0.3">
      <c r="B21" s="432" t="s">
        <v>83</v>
      </c>
      <c r="C21" s="432" t="s">
        <v>372</v>
      </c>
      <c r="D21" s="79" t="s">
        <v>1540</v>
      </c>
      <c r="E21" s="432" t="s">
        <v>638</v>
      </c>
      <c r="F21" s="432" t="s">
        <v>639</v>
      </c>
      <c r="G21" s="370" t="s">
        <v>63</v>
      </c>
      <c r="H21" s="371" t="s">
        <v>77</v>
      </c>
      <c r="I21" s="370" t="s">
        <v>65</v>
      </c>
      <c r="J21" s="370" t="s">
        <v>66</v>
      </c>
      <c r="K21" s="370" t="s">
        <v>67</v>
      </c>
      <c r="L21" s="370" t="s">
        <v>90</v>
      </c>
      <c r="M21" s="370" t="s">
        <v>90</v>
      </c>
      <c r="N21" s="370" t="s">
        <v>65</v>
      </c>
      <c r="O21" s="370" t="s">
        <v>69</v>
      </c>
      <c r="P21" s="370" t="s">
        <v>2041</v>
      </c>
      <c r="Q21" s="370" t="s">
        <v>332</v>
      </c>
      <c r="R21" s="370"/>
      <c r="S21" s="371"/>
      <c r="T21" s="370"/>
      <c r="U21" s="370"/>
      <c r="V21" s="370"/>
      <c r="W21" s="370"/>
      <c r="X21" s="370"/>
      <c r="Y21" s="370"/>
      <c r="Z21" s="370"/>
      <c r="AA21" s="370"/>
      <c r="AB21" s="370"/>
    </row>
    <row r="22" spans="2:28" x14ac:dyDescent="0.3">
      <c r="B22" s="380"/>
    </row>
    <row r="23" spans="2:28" ht="15" thickBot="1" x14ac:dyDescent="0.35"/>
    <row r="24" spans="2:28" x14ac:dyDescent="0.3">
      <c r="B24" s="372" t="s">
        <v>2546</v>
      </c>
      <c r="C24" s="373" t="s">
        <v>2547</v>
      </c>
      <c r="D24" s="374" t="s">
        <v>2548</v>
      </c>
    </row>
    <row r="25" spans="2:28" x14ac:dyDescent="0.3">
      <c r="B25" s="375" t="s">
        <v>30</v>
      </c>
      <c r="C25" t="s">
        <v>1839</v>
      </c>
      <c r="D25" s="376" t="s">
        <v>2549</v>
      </c>
      <c r="E25" t="s">
        <v>1798</v>
      </c>
    </row>
    <row r="26" spans="2:28" x14ac:dyDescent="0.3">
      <c r="B26" s="375" t="s">
        <v>31</v>
      </c>
      <c r="C26" t="s">
        <v>1840</v>
      </c>
      <c r="D26" s="376" t="s">
        <v>2550</v>
      </c>
      <c r="E26" t="s">
        <v>1798</v>
      </c>
    </row>
    <row r="27" spans="2:28" x14ac:dyDescent="0.3">
      <c r="B27" s="375" t="s">
        <v>32</v>
      </c>
      <c r="C27" t="s">
        <v>1841</v>
      </c>
      <c r="D27" s="376" t="s">
        <v>2551</v>
      </c>
      <c r="E27" t="s">
        <v>1798</v>
      </c>
    </row>
    <row r="28" spans="2:28" x14ac:dyDescent="0.3">
      <c r="B28" s="375" t="s">
        <v>33</v>
      </c>
      <c r="C28" t="s">
        <v>1842</v>
      </c>
      <c r="D28" s="376" t="s">
        <v>2552</v>
      </c>
      <c r="E28" t="s">
        <v>1798</v>
      </c>
    </row>
    <row r="29" spans="2:28" x14ac:dyDescent="0.3">
      <c r="B29" s="375" t="s">
        <v>34</v>
      </c>
      <c r="C29" t="s">
        <v>1843</v>
      </c>
      <c r="D29" s="376" t="s">
        <v>2553</v>
      </c>
      <c r="E29" t="s">
        <v>1798</v>
      </c>
    </row>
    <row r="30" spans="2:28" x14ac:dyDescent="0.3">
      <c r="B30" s="375" t="s">
        <v>35</v>
      </c>
      <c r="C30" t="s">
        <v>1844</v>
      </c>
      <c r="D30" s="376" t="s">
        <v>2554</v>
      </c>
      <c r="E30" t="s">
        <v>1798</v>
      </c>
    </row>
    <row r="31" spans="2:28" x14ac:dyDescent="0.3">
      <c r="B31" s="375" t="s">
        <v>36</v>
      </c>
      <c r="C31" s="300" t="s">
        <v>1845</v>
      </c>
      <c r="D31" s="376"/>
    </row>
    <row r="32" spans="2:28" x14ac:dyDescent="0.3">
      <c r="B32" s="375" t="s">
        <v>37</v>
      </c>
      <c r="C32" t="s">
        <v>1846</v>
      </c>
      <c r="D32" s="376" t="s">
        <v>2555</v>
      </c>
      <c r="E32" t="s">
        <v>1798</v>
      </c>
    </row>
    <row r="33" spans="2:5" ht="15" thickBot="1" x14ac:dyDescent="0.35">
      <c r="B33" s="375" t="s">
        <v>38</v>
      </c>
      <c r="C33" s="378" t="s">
        <v>1847</v>
      </c>
      <c r="D33" s="379" t="s">
        <v>2556</v>
      </c>
      <c r="E33" t="s">
        <v>1798</v>
      </c>
    </row>
  </sheetData>
  <protectedRanges>
    <protectedRange algorithmName="SHA-512" hashValue="h8lfHTpgu9sjZ5FD0TFTRW4XK4YjJlAc8LZdVTUDTQhNn0cZfXCRaOK5xKDI8TeiI4TEpREutu47LsJax8qmVQ==" saltValue="45vNl5eoNL6jcuPRFWVeJA==" spinCount="100000" sqref="P9:Q11 P18:Q21 P12:P17 AA9:AB11" name="Trimestre1_2"/>
    <protectedRange algorithmName="SHA-512" hashValue="/FuuMS3bGaCiHkeKhejoTbuKloDettmow+jAdK04mlTRCr306syv/mgc7i7KY9N3bEb4zcozKro3ZWG7j4F+bQ==" saltValue="5/e4EmDDqTu6D06OfqgyAg==" spinCount="100000" sqref="AA18:AB21 AA12:AA17" name="Trimestre2_2"/>
    <protectedRange algorithmName="SHA-512" hashValue="h8lfHTpgu9sjZ5FD0TFTRW4XK4YjJlAc8LZdVTUDTQhNn0cZfXCRaOK5xKDI8TeiI4TEpREutu47LsJax8qmVQ==" saltValue="45vNl5eoNL6jcuPRFWVeJA==" spinCount="100000" sqref="G9:O21 R9:Z11" name="Trimestre1_2_4"/>
    <protectedRange algorithmName="SHA-512" hashValue="h8lfHTpgu9sjZ5FD0TFTRW4XK4YjJlAc8LZdVTUDTQhNn0cZfXCRaOK5xKDI8TeiI4TEpREutu47LsJax8qmVQ==" saltValue="45vNl5eoNL6jcuPRFWVeJA==" spinCount="100000" sqref="R12:Z21" name="Trimestre1_2_4_1"/>
    <protectedRange algorithmName="SHA-512" hashValue="h8lfHTpgu9sjZ5FD0TFTRW4XK4YjJlAc8LZdVTUDTQhNn0cZfXCRaOK5xKDI8TeiI4TEpREutu47LsJax8qmVQ==" saltValue="45vNl5eoNL6jcuPRFWVeJA==" spinCount="100000" sqref="Q12:Q16 AB12:AB17" name="Trimestre1_2_1"/>
    <protectedRange algorithmName="SHA-512" hashValue="h8lfHTpgu9sjZ5FD0TFTRW4XK4YjJlAc8LZdVTUDTQhNn0cZfXCRaOK5xKDI8TeiI4TEpREutu47LsJax8qmVQ==" saltValue="45vNl5eoNL6jcuPRFWVeJA==" spinCount="100000" sqref="Q17" name="Trimestre1_2_2"/>
  </protectedRanges>
  <mergeCells count="7">
    <mergeCell ref="B18:B19"/>
    <mergeCell ref="B2:D2"/>
    <mergeCell ref="B1:D1"/>
    <mergeCell ref="F7:P7"/>
    <mergeCell ref="Q7:AA7"/>
    <mergeCell ref="B12:B14"/>
    <mergeCell ref="B16:B17"/>
  </mergeCells>
  <dataValidations count="15">
    <dataValidation type="list" allowBlank="1" showInputMessage="1" showErrorMessage="1" prompt="Corresponde a los ID de los indicadores del Proyecto de Inversión" sqref="C12:C14" xr:uid="{00000000-0002-0000-1100-000000000000}">
      <formula1>INDIRECT($A$18)</formula1>
    </dataValidation>
    <dataValidation type="list" allowBlank="1" showInputMessage="1" showErrorMessage="1" prompt="Corresponde a los ID de los indicadores del Proyecto de Inversión" sqref="C15" xr:uid="{00000000-0002-0000-1100-000001000000}">
      <formula1>INDIRECT($A$21)</formula1>
    </dataValidation>
    <dataValidation type="list" allowBlank="1" showInputMessage="1" showErrorMessage="1" prompt="Corresponde a los ID de los indicadores del Proyecto de Inversión" sqref="C16 C18" xr:uid="{00000000-0002-0000-1100-000002000000}">
      <formula1>INDIRECT(XFD16)</formula1>
    </dataValidation>
    <dataValidation type="list" allowBlank="1" showInputMessage="1" showErrorMessage="1" prompt="Corresponde a los ID de los indicadores del Proyecto de Inversión" sqref="C10" xr:uid="{00000000-0002-0000-1100-000003000000}">
      <formula1>INDIRECT($A$16)</formula1>
    </dataValidation>
    <dataValidation type="list" allowBlank="1" showInputMessage="1" showErrorMessage="1" prompt="Corresponde a los ID de los indicadores del Proyecto de Inversión" sqref="C21" xr:uid="{00000000-0002-0000-1100-000004000000}">
      <formula1>INDIRECT($A$27)</formula1>
    </dataValidation>
    <dataValidation type="list" allowBlank="1" showInputMessage="1" showErrorMessage="1" prompt="Corresponde a los ID de los indicadores del Proyecto de Inversión" sqref="C17" xr:uid="{00000000-0002-0000-1100-000005000000}">
      <formula1>INDIRECT(XFD16)</formula1>
    </dataValidation>
    <dataValidation allowBlank="1" showInputMessage="1" showErrorMessage="1" prompt="Corresponde a la tendencia anual del indicador" sqref="E9:E21" xr:uid="{00000000-0002-0000-1100-000006000000}"/>
    <dataValidation allowBlank="1" showInputMessage="1" showErrorMessage="1" prompt="Corresponde a la unidad de medida del indicador" sqref="F9:F21" xr:uid="{00000000-0002-0000-1100-000007000000}"/>
    <dataValidation allowBlank="1" showInputMessage="1" showErrorMessage="1" prompt="Corresponde a los nombres de los indicadores del Proyecto de Inversión" sqref="D9:D21" xr:uid="{00000000-0002-0000-1100-000008000000}"/>
    <dataValidation type="textLength" operator="lessThanOrEqual" allowBlank="1" showInputMessage="1" showErrorMessage="1" sqref="AA12:AA21" xr:uid="{00000000-0002-0000-1100-000009000000}">
      <formula1>1000</formula1>
    </dataValidation>
    <dataValidation type="textLength" allowBlank="1" showInputMessage="1" showErrorMessage="1" sqref="Q9:Q21 AB9:AB21" xr:uid="{00000000-0002-0000-1100-00000A000000}">
      <formula1>2</formula1>
      <formula2>50</formula2>
    </dataValidation>
    <dataValidation type="list" allowBlank="1" showInputMessage="1" showErrorMessage="1" prompt="Corresponde a los ID de los indicadores del Proyecto de Inversión" sqref="C20" xr:uid="{00000000-0002-0000-1100-00000B000000}">
      <formula1>INDIRECT($A$26)</formula1>
    </dataValidation>
    <dataValidation type="list" allowBlank="1" showInputMessage="1" showErrorMessage="1" prompt="Corresponde a los ID de los indicadores del Proyecto de Inversión" sqref="C19" xr:uid="{00000000-0002-0000-1100-00000C000000}">
      <formula1>INDIRECT($A$25)</formula1>
    </dataValidation>
    <dataValidation type="list" allowBlank="1" showInputMessage="1" showErrorMessage="1" prompt="Corresponde a los ID de los indicadores del Proyecto de Inversión" sqref="C11" xr:uid="{00000000-0002-0000-1100-00000D000000}">
      <formula1>INDIRECT($A$17)</formula1>
    </dataValidation>
    <dataValidation type="list" allowBlank="1" showInputMessage="1" showErrorMessage="1" prompt="Corresponde a los ID de los indicadores del Proyecto de Inversión" sqref="C9" xr:uid="{00000000-0002-0000-1100-00000E000000}">
      <formula1>INDIRECT($A$15)</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F000000}">
          <x14:formula1>
            <xm:f>Listas!$P$5:$P$7</xm:f>
          </x14:formula1>
          <xm:sqref>G9:G21 R9:R21</xm:sqref>
        </x14:dataValidation>
        <x14:dataValidation type="list" allowBlank="1" showInputMessage="1" showErrorMessage="1" xr:uid="{00000000-0002-0000-1100-000010000000}">
          <x14:formula1>
            <xm:f>Listas!$Q$5:$Q$11</xm:f>
          </x14:formula1>
          <xm:sqref>H9:H21 S9:S21</xm:sqref>
        </x14:dataValidation>
        <x14:dataValidation type="list" allowBlank="1" showInputMessage="1" showErrorMessage="1" xr:uid="{00000000-0002-0000-1100-000011000000}">
          <x14:formula1>
            <xm:f>Listas!$R$5:$R$8</xm:f>
          </x14:formula1>
          <xm:sqref>K12:K15 N16:N17 J16:L17 I9:I21 T9:T21</xm:sqref>
        </x14:dataValidation>
        <x14:dataValidation type="list" allowBlank="1" showInputMessage="1" showErrorMessage="1" xr:uid="{00000000-0002-0000-1100-000012000000}">
          <x14:formula1>
            <xm:f>Listas!$S$5:$S$8</xm:f>
          </x14:formula1>
          <xm:sqref>J9:J15 J18:J21 U9:U21</xm:sqref>
        </x14:dataValidation>
        <x14:dataValidation type="list" allowBlank="1" showInputMessage="1" showErrorMessage="1" xr:uid="{00000000-0002-0000-1100-000013000000}">
          <x14:formula1>
            <xm:f>Listas!$T$5:$T$8</xm:f>
          </x14:formula1>
          <xm:sqref>K9:K11 K18:K21 V9:V21</xm:sqref>
        </x14:dataValidation>
        <x14:dataValidation type="list" allowBlank="1" showInputMessage="1" showErrorMessage="1" xr:uid="{00000000-0002-0000-1100-000014000000}">
          <x14:formula1>
            <xm:f>Listas!$U$5:$U$8</xm:f>
          </x14:formula1>
          <xm:sqref>L9:L15 L18:L21 W9:W21</xm:sqref>
        </x14:dataValidation>
        <x14:dataValidation type="list" allowBlank="1" showInputMessage="1" showErrorMessage="1" xr:uid="{00000000-0002-0000-1100-000015000000}">
          <x14:formula1>
            <xm:f>Listas!$V$5:$V$8</xm:f>
          </x14:formula1>
          <xm:sqref>M9:M21 X9:X21</xm:sqref>
        </x14:dataValidation>
        <x14:dataValidation type="list" allowBlank="1" showInputMessage="1" showErrorMessage="1" xr:uid="{00000000-0002-0000-1100-000016000000}">
          <x14:formula1>
            <xm:f>Listas!$W$5:$W$8</xm:f>
          </x14:formula1>
          <xm:sqref>N9:N15 N18:N21 Y9:Y21</xm:sqref>
        </x14:dataValidation>
        <x14:dataValidation type="list" allowBlank="1" showInputMessage="1" showErrorMessage="1" xr:uid="{00000000-0002-0000-1100-000017000000}">
          <x14:formula1>
            <xm:f>Listas!$X$5:$X$6</xm:f>
          </x14:formula1>
          <xm:sqref>O9:O21 Z9:Z21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30"/>
  <sheetViews>
    <sheetView topLeftCell="B5" workbookViewId="0">
      <selection activeCell="R11" sqref="R11"/>
    </sheetView>
  </sheetViews>
  <sheetFormatPr baseColWidth="10" defaultColWidth="11.44140625" defaultRowHeight="14.4" x14ac:dyDescent="0.3"/>
  <cols>
    <col min="1" max="1" width="3.109375" customWidth="1"/>
    <col min="2" max="2" width="29.44140625" bestFit="1" customWidth="1"/>
    <col min="3" max="3" width="26.33203125" customWidth="1"/>
    <col min="4" max="4" width="87.109375" customWidth="1"/>
    <col min="5" max="5" width="27.44140625" hidden="1" customWidth="1"/>
    <col min="6" max="6" width="24" hidden="1" customWidth="1"/>
    <col min="7" max="17" width="0" hidden="1" customWidth="1"/>
    <col min="27" max="27" width="17.33203125" bestFit="1" customWidth="1"/>
  </cols>
  <sheetData>
    <row r="1" spans="1:28" ht="23.4" x14ac:dyDescent="0.45">
      <c r="B1" s="632" t="s">
        <v>2531</v>
      </c>
      <c r="C1" s="633"/>
      <c r="D1" s="603"/>
      <c r="E1" s="15"/>
      <c r="F1" s="15"/>
      <c r="G1" s="15"/>
      <c r="H1" s="15"/>
      <c r="I1" s="120" t="s">
        <v>496</v>
      </c>
      <c r="J1" s="120" t="s">
        <v>497</v>
      </c>
      <c r="K1" s="120" t="s">
        <v>498</v>
      </c>
      <c r="L1" s="120" t="s">
        <v>499</v>
      </c>
      <c r="M1" s="120" t="s">
        <v>500</v>
      </c>
      <c r="N1" s="120" t="s">
        <v>2532</v>
      </c>
      <c r="O1" s="120" t="s">
        <v>501</v>
      </c>
      <c r="P1" s="120" t="s">
        <v>502</v>
      </c>
      <c r="Q1" s="120" t="s">
        <v>503</v>
      </c>
      <c r="R1" s="120" t="s">
        <v>504</v>
      </c>
      <c r="S1" s="120" t="s">
        <v>506</v>
      </c>
      <c r="T1" s="120" t="s">
        <v>507</v>
      </c>
      <c r="U1" s="120" t="s">
        <v>508</v>
      </c>
      <c r="V1" s="120" t="s">
        <v>509</v>
      </c>
      <c r="W1" s="120" t="s">
        <v>510</v>
      </c>
      <c r="X1" s="120" t="s">
        <v>511</v>
      </c>
      <c r="Y1" s="120" t="s">
        <v>2533</v>
      </c>
      <c r="Z1" s="120" t="s">
        <v>512</v>
      </c>
      <c r="AA1" s="120" t="s">
        <v>513</v>
      </c>
      <c r="AB1" s="120" t="s">
        <v>514</v>
      </c>
    </row>
    <row r="2" spans="1:28" s="15" customFormat="1" x14ac:dyDescent="0.3">
      <c r="B2" s="636" t="s">
        <v>12</v>
      </c>
      <c r="C2" s="637"/>
      <c r="D2" s="638"/>
    </row>
    <row r="3" spans="1:28" s="15" customFormat="1" x14ac:dyDescent="0.3"/>
    <row r="4" spans="1:28" s="15" customFormat="1" x14ac:dyDescent="0.3"/>
    <row r="5" spans="1:28" s="15" customFormat="1" x14ac:dyDescent="0.3"/>
    <row r="6" spans="1:28" s="15" customFormat="1" x14ac:dyDescent="0.3"/>
    <row r="7" spans="1:28" ht="15" thickBot="1" x14ac:dyDescent="0.35">
      <c r="B7" s="15"/>
      <c r="C7" s="15"/>
      <c r="D7" s="15"/>
      <c r="E7" s="15"/>
      <c r="F7" s="634" t="s">
        <v>2534</v>
      </c>
      <c r="G7" s="634"/>
      <c r="H7" s="634"/>
      <c r="I7" s="634"/>
      <c r="J7" s="634"/>
      <c r="K7" s="634"/>
      <c r="L7" s="634"/>
      <c r="M7" s="634"/>
      <c r="N7" s="634"/>
      <c r="O7" s="634"/>
      <c r="P7" s="634"/>
      <c r="Q7" s="635" t="s">
        <v>2535</v>
      </c>
      <c r="R7" s="635"/>
      <c r="S7" s="635"/>
      <c r="T7" s="635"/>
      <c r="U7" s="635"/>
      <c r="V7" s="635"/>
      <c r="W7" s="635"/>
      <c r="X7" s="635"/>
      <c r="Y7" s="635"/>
      <c r="Z7" s="635"/>
      <c r="AA7" s="635"/>
      <c r="AB7" s="444"/>
    </row>
    <row r="8" spans="1:28" x14ac:dyDescent="0.3">
      <c r="B8" s="367" t="s">
        <v>1868</v>
      </c>
      <c r="C8" s="367" t="s">
        <v>2536</v>
      </c>
      <c r="D8" s="367" t="s">
        <v>541</v>
      </c>
      <c r="E8" s="368" t="s">
        <v>544</v>
      </c>
      <c r="F8" s="368" t="s">
        <v>413</v>
      </c>
      <c r="G8" s="369" t="s">
        <v>30</v>
      </c>
      <c r="H8" s="369" t="s">
        <v>31</v>
      </c>
      <c r="I8" s="369" t="s">
        <v>32</v>
      </c>
      <c r="J8" s="369" t="s">
        <v>33</v>
      </c>
      <c r="K8" s="369" t="s">
        <v>34</v>
      </c>
      <c r="L8" s="369" t="s">
        <v>35</v>
      </c>
      <c r="M8" s="369" t="s">
        <v>36</v>
      </c>
      <c r="N8" s="369" t="s">
        <v>37</v>
      </c>
      <c r="O8" s="369" t="s">
        <v>38</v>
      </c>
      <c r="P8" s="369" t="s">
        <v>1848</v>
      </c>
      <c r="Q8" s="369" t="s">
        <v>1850</v>
      </c>
      <c r="R8" s="369" t="s">
        <v>30</v>
      </c>
      <c r="S8" s="369" t="s">
        <v>31</v>
      </c>
      <c r="T8" s="369" t="s">
        <v>32</v>
      </c>
      <c r="U8" s="369" t="s">
        <v>33</v>
      </c>
      <c r="V8" s="369" t="s">
        <v>34</v>
      </c>
      <c r="W8" s="369" t="s">
        <v>35</v>
      </c>
      <c r="X8" s="369" t="s">
        <v>36</v>
      </c>
      <c r="Y8" s="369" t="s">
        <v>37</v>
      </c>
      <c r="Z8" s="369" t="s">
        <v>38</v>
      </c>
      <c r="AA8" s="369" t="s">
        <v>1848</v>
      </c>
      <c r="AB8" s="369" t="s">
        <v>1850</v>
      </c>
    </row>
    <row r="9" spans="1:28" ht="27" customHeight="1" x14ac:dyDescent="0.3">
      <c r="A9" s="92" t="str">
        <f>+VLOOKUP(B9,responsables,8,0)</f>
        <v>sci</v>
      </c>
      <c r="B9" s="566" t="s">
        <v>127</v>
      </c>
      <c r="C9" s="432" t="s">
        <v>374</v>
      </c>
      <c r="D9" s="79" t="s">
        <v>1550</v>
      </c>
      <c r="E9" s="432" t="s">
        <v>638</v>
      </c>
      <c r="F9" s="432" t="s">
        <v>602</v>
      </c>
      <c r="G9" s="370" t="s">
        <v>63</v>
      </c>
      <c r="H9" s="371" t="s">
        <v>64</v>
      </c>
      <c r="I9" s="370" t="s">
        <v>65</v>
      </c>
      <c r="J9" s="370" t="s">
        <v>66</v>
      </c>
      <c r="K9" s="370" t="s">
        <v>67</v>
      </c>
      <c r="L9" s="370" t="s">
        <v>67</v>
      </c>
      <c r="M9" s="370"/>
      <c r="N9" s="370" t="s">
        <v>65</v>
      </c>
      <c r="O9" s="370" t="s">
        <v>69</v>
      </c>
      <c r="P9" s="370" t="s">
        <v>2041</v>
      </c>
      <c r="Q9" s="370" t="s">
        <v>2558</v>
      </c>
      <c r="R9" s="370" t="s">
        <v>90</v>
      </c>
      <c r="S9" s="371" t="s">
        <v>77</v>
      </c>
      <c r="T9" s="370" t="s">
        <v>90</v>
      </c>
      <c r="U9" s="370" t="s">
        <v>90</v>
      </c>
      <c r="V9" s="370" t="s">
        <v>90</v>
      </c>
      <c r="W9" s="370" t="s">
        <v>90</v>
      </c>
      <c r="X9" s="370"/>
      <c r="Y9" s="370" t="s">
        <v>90</v>
      </c>
      <c r="Z9" s="370" t="s">
        <v>69</v>
      </c>
      <c r="AA9" s="370" t="s">
        <v>2567</v>
      </c>
      <c r="AB9" s="370" t="s">
        <v>2558</v>
      </c>
    </row>
    <row r="10" spans="1:28" ht="27" hidden="1" customHeight="1" x14ac:dyDescent="0.3">
      <c r="B10" s="566"/>
      <c r="C10" s="432" t="s">
        <v>376</v>
      </c>
      <c r="D10" s="79" t="s">
        <v>2568</v>
      </c>
      <c r="E10" s="432" t="s">
        <v>661</v>
      </c>
      <c r="F10" s="432" t="s">
        <v>602</v>
      </c>
      <c r="G10" s="370"/>
      <c r="H10" s="371"/>
      <c r="I10" s="370"/>
      <c r="J10" s="370"/>
      <c r="K10" s="370"/>
      <c r="L10" s="370"/>
      <c r="M10" s="370"/>
      <c r="N10" s="370"/>
      <c r="O10" s="370"/>
      <c r="P10" s="370" t="s">
        <v>90</v>
      </c>
      <c r="Q10" s="370" t="s">
        <v>2558</v>
      </c>
      <c r="R10" s="370"/>
      <c r="S10" s="371"/>
      <c r="T10" s="370"/>
      <c r="U10" s="370"/>
      <c r="V10" s="370"/>
      <c r="W10" s="370"/>
      <c r="X10" s="370"/>
      <c r="Y10" s="370"/>
      <c r="Z10" s="370"/>
      <c r="AA10" s="370"/>
      <c r="AB10" s="370"/>
    </row>
    <row r="11" spans="1:28" ht="27" customHeight="1" x14ac:dyDescent="0.3">
      <c r="B11" s="566" t="s">
        <v>187</v>
      </c>
      <c r="C11" s="432">
        <v>87</v>
      </c>
      <c r="D11" s="79" t="s">
        <v>1628</v>
      </c>
      <c r="E11" s="432" t="s">
        <v>601</v>
      </c>
      <c r="F11" s="432" t="s">
        <v>602</v>
      </c>
      <c r="G11" s="370" t="s">
        <v>63</v>
      </c>
      <c r="H11" s="371" t="s">
        <v>77</v>
      </c>
      <c r="I11" s="370" t="s">
        <v>65</v>
      </c>
      <c r="J11" s="370" t="s">
        <v>66</v>
      </c>
      <c r="K11" s="370" t="s">
        <v>67</v>
      </c>
      <c r="L11" s="370" t="s">
        <v>67</v>
      </c>
      <c r="M11" s="370"/>
      <c r="N11" s="370" t="s">
        <v>65</v>
      </c>
      <c r="O11" s="370" t="s">
        <v>69</v>
      </c>
      <c r="P11" s="370" t="s">
        <v>2041</v>
      </c>
      <c r="Q11" s="370" t="s">
        <v>2558</v>
      </c>
      <c r="R11" s="370" t="s">
        <v>90</v>
      </c>
      <c r="S11" s="371" t="s">
        <v>116</v>
      </c>
      <c r="T11" s="370" t="s">
        <v>90</v>
      </c>
      <c r="U11" s="370" t="s">
        <v>90</v>
      </c>
      <c r="V11" s="370" t="s">
        <v>90</v>
      </c>
      <c r="W11" s="370" t="s">
        <v>90</v>
      </c>
      <c r="X11" s="370"/>
      <c r="Y11" s="370" t="s">
        <v>90</v>
      </c>
      <c r="Z11" s="370" t="s">
        <v>69</v>
      </c>
      <c r="AA11" s="370" t="s">
        <v>2041</v>
      </c>
      <c r="AB11" s="370" t="s">
        <v>2558</v>
      </c>
    </row>
    <row r="12" spans="1:28" ht="27" customHeight="1" x14ac:dyDescent="0.3">
      <c r="B12" s="566"/>
      <c r="C12" s="432" t="s">
        <v>379</v>
      </c>
      <c r="D12" s="79" t="s">
        <v>1638</v>
      </c>
      <c r="E12" s="432" t="s">
        <v>638</v>
      </c>
      <c r="F12" s="432" t="s">
        <v>639</v>
      </c>
      <c r="G12" s="370" t="s">
        <v>63</v>
      </c>
      <c r="H12" s="371" t="s">
        <v>77</v>
      </c>
      <c r="I12" s="370" t="s">
        <v>65</v>
      </c>
      <c r="J12" s="370" t="s">
        <v>66</v>
      </c>
      <c r="K12" s="370" t="s">
        <v>67</v>
      </c>
      <c r="L12" s="370" t="s">
        <v>67</v>
      </c>
      <c r="M12" s="370"/>
      <c r="N12" s="370" t="s">
        <v>65</v>
      </c>
      <c r="O12" s="370" t="s">
        <v>69</v>
      </c>
      <c r="P12" s="370" t="s">
        <v>2041</v>
      </c>
      <c r="Q12" s="370" t="s">
        <v>2558</v>
      </c>
      <c r="R12" s="370" t="s">
        <v>90</v>
      </c>
      <c r="S12" s="371" t="s">
        <v>116</v>
      </c>
      <c r="T12" s="370" t="s">
        <v>90</v>
      </c>
      <c r="U12" s="370" t="s">
        <v>90</v>
      </c>
      <c r="V12" s="370" t="s">
        <v>90</v>
      </c>
      <c r="W12" s="370" t="s">
        <v>90</v>
      </c>
      <c r="X12" s="370"/>
      <c r="Y12" s="370" t="s">
        <v>90</v>
      </c>
      <c r="Z12" s="370" t="s">
        <v>69</v>
      </c>
      <c r="AA12" s="370" t="s">
        <v>2041</v>
      </c>
      <c r="AB12" s="370" t="s">
        <v>2558</v>
      </c>
    </row>
    <row r="13" spans="1:28" ht="27" customHeight="1" x14ac:dyDescent="0.3">
      <c r="B13" s="619" t="s">
        <v>183</v>
      </c>
      <c r="C13" s="432">
        <v>65</v>
      </c>
      <c r="D13" s="79" t="s">
        <v>1571</v>
      </c>
      <c r="E13" s="432" t="s">
        <v>638</v>
      </c>
      <c r="F13" s="432" t="s">
        <v>639</v>
      </c>
      <c r="G13" s="370" t="s">
        <v>63</v>
      </c>
      <c r="H13" s="371" t="s">
        <v>77</v>
      </c>
      <c r="I13" s="370" t="s">
        <v>65</v>
      </c>
      <c r="J13" s="370" t="s">
        <v>66</v>
      </c>
      <c r="K13" s="370" t="s">
        <v>67</v>
      </c>
      <c r="L13" s="370" t="s">
        <v>67</v>
      </c>
      <c r="M13" s="370"/>
      <c r="N13" s="370" t="s">
        <v>65</v>
      </c>
      <c r="O13" s="370" t="s">
        <v>69</v>
      </c>
      <c r="P13" s="370" t="s">
        <v>2041</v>
      </c>
      <c r="Q13" s="370" t="s">
        <v>2558</v>
      </c>
      <c r="R13" s="370" t="s">
        <v>63</v>
      </c>
      <c r="S13" s="371" t="s">
        <v>77</v>
      </c>
      <c r="T13" s="370" t="s">
        <v>65</v>
      </c>
      <c r="U13" s="370" t="s">
        <v>66</v>
      </c>
      <c r="V13" s="370" t="s">
        <v>67</v>
      </c>
      <c r="W13" s="370" t="s">
        <v>67</v>
      </c>
      <c r="X13" s="370"/>
      <c r="Y13" s="370" t="s">
        <v>65</v>
      </c>
      <c r="Z13" s="370" t="s">
        <v>69</v>
      </c>
      <c r="AA13" s="370" t="s">
        <v>2041</v>
      </c>
      <c r="AB13" s="370" t="s">
        <v>2558</v>
      </c>
    </row>
    <row r="14" spans="1:28" ht="27" customHeight="1" x14ac:dyDescent="0.3">
      <c r="B14" s="629"/>
      <c r="C14" s="432">
        <v>66</v>
      </c>
      <c r="D14" s="79" t="s">
        <v>1580</v>
      </c>
      <c r="E14" s="432" t="s">
        <v>638</v>
      </c>
      <c r="F14" s="432" t="s">
        <v>639</v>
      </c>
      <c r="G14" s="370" t="s">
        <v>63</v>
      </c>
      <c r="H14" s="371" t="s">
        <v>77</v>
      </c>
      <c r="I14" s="370" t="s">
        <v>65</v>
      </c>
      <c r="J14" s="370" t="s">
        <v>66</v>
      </c>
      <c r="K14" s="370" t="s">
        <v>67</v>
      </c>
      <c r="L14" s="370" t="s">
        <v>67</v>
      </c>
      <c r="M14" s="370"/>
      <c r="N14" s="370" t="s">
        <v>65</v>
      </c>
      <c r="O14" s="370" t="s">
        <v>69</v>
      </c>
      <c r="P14" s="370" t="s">
        <v>2041</v>
      </c>
      <c r="Q14" s="370" t="s">
        <v>2558</v>
      </c>
      <c r="R14" s="370" t="s">
        <v>90</v>
      </c>
      <c r="S14" s="371" t="s">
        <v>116</v>
      </c>
      <c r="T14" s="370" t="s">
        <v>90</v>
      </c>
      <c r="U14" s="370" t="s">
        <v>90</v>
      </c>
      <c r="V14" s="370" t="s">
        <v>90</v>
      </c>
      <c r="W14" s="370" t="s">
        <v>90</v>
      </c>
      <c r="X14" s="370"/>
      <c r="Y14" s="370" t="s">
        <v>90</v>
      </c>
      <c r="Z14" s="370" t="s">
        <v>69</v>
      </c>
      <c r="AA14" s="370" t="s">
        <v>2041</v>
      </c>
      <c r="AB14" s="370" t="s">
        <v>2558</v>
      </c>
    </row>
    <row r="15" spans="1:28" ht="27" customHeight="1" x14ac:dyDescent="0.3">
      <c r="B15" s="629"/>
      <c r="C15" s="432">
        <v>67</v>
      </c>
      <c r="D15" s="79" t="s">
        <v>1590</v>
      </c>
      <c r="E15" s="432" t="s">
        <v>638</v>
      </c>
      <c r="F15" s="432" t="s">
        <v>639</v>
      </c>
      <c r="G15" s="370" t="s">
        <v>63</v>
      </c>
      <c r="H15" s="371" t="s">
        <v>77</v>
      </c>
      <c r="I15" s="370" t="s">
        <v>65</v>
      </c>
      <c r="J15" s="370" t="s">
        <v>66</v>
      </c>
      <c r="K15" s="370" t="s">
        <v>67</v>
      </c>
      <c r="L15" s="370" t="s">
        <v>67</v>
      </c>
      <c r="M15" s="370"/>
      <c r="N15" s="370" t="s">
        <v>65</v>
      </c>
      <c r="O15" s="370" t="s">
        <v>69</v>
      </c>
      <c r="P15" s="370" t="s">
        <v>2041</v>
      </c>
      <c r="Q15" s="370" t="s">
        <v>2558</v>
      </c>
      <c r="R15" s="370" t="s">
        <v>63</v>
      </c>
      <c r="S15" s="371" t="s">
        <v>77</v>
      </c>
      <c r="T15" s="370" t="s">
        <v>65</v>
      </c>
      <c r="U15" s="370" t="s">
        <v>66</v>
      </c>
      <c r="V15" s="370" t="s">
        <v>67</v>
      </c>
      <c r="W15" s="370" t="s">
        <v>67</v>
      </c>
      <c r="X15" s="370"/>
      <c r="Y15" s="370" t="s">
        <v>65</v>
      </c>
      <c r="Z15" s="370" t="s">
        <v>69</v>
      </c>
      <c r="AA15" s="370" t="s">
        <v>2041</v>
      </c>
      <c r="AB15" s="370" t="s">
        <v>2558</v>
      </c>
    </row>
    <row r="16" spans="1:28" ht="27" customHeight="1" x14ac:dyDescent="0.3">
      <c r="B16" s="629"/>
      <c r="C16" s="432">
        <v>69</v>
      </c>
      <c r="D16" s="79" t="s">
        <v>1600</v>
      </c>
      <c r="E16" s="432" t="s">
        <v>601</v>
      </c>
      <c r="F16" s="432" t="s">
        <v>639</v>
      </c>
      <c r="G16" s="370" t="s">
        <v>63</v>
      </c>
      <c r="H16" s="371" t="s">
        <v>77</v>
      </c>
      <c r="I16" s="370" t="s">
        <v>65</v>
      </c>
      <c r="J16" s="370" t="s">
        <v>66</v>
      </c>
      <c r="K16" s="370" t="s">
        <v>67</v>
      </c>
      <c r="L16" s="370" t="s">
        <v>67</v>
      </c>
      <c r="M16" s="370"/>
      <c r="N16" s="370" t="s">
        <v>65</v>
      </c>
      <c r="O16" s="370" t="s">
        <v>69</v>
      </c>
      <c r="P16" s="370" t="s">
        <v>2041</v>
      </c>
      <c r="Q16" s="370" t="s">
        <v>2558</v>
      </c>
      <c r="R16" s="370" t="s">
        <v>63</v>
      </c>
      <c r="S16" s="371" t="s">
        <v>77</v>
      </c>
      <c r="T16" s="370" t="s">
        <v>65</v>
      </c>
      <c r="U16" s="370" t="s">
        <v>66</v>
      </c>
      <c r="V16" s="370" t="s">
        <v>67</v>
      </c>
      <c r="W16" s="370" t="s">
        <v>67</v>
      </c>
      <c r="X16" s="370"/>
      <c r="Y16" s="370" t="s">
        <v>65</v>
      </c>
      <c r="Z16" s="370" t="s">
        <v>69</v>
      </c>
      <c r="AA16" s="370" t="s">
        <v>2041</v>
      </c>
      <c r="AB16" s="370" t="s">
        <v>2558</v>
      </c>
    </row>
    <row r="17" spans="2:28" ht="52.5" customHeight="1" x14ac:dyDescent="0.3">
      <c r="B17" s="629"/>
      <c r="C17" s="432" t="s">
        <v>377</v>
      </c>
      <c r="D17" s="79" t="s">
        <v>1610</v>
      </c>
      <c r="E17" s="432" t="s">
        <v>601</v>
      </c>
      <c r="F17" s="432" t="s">
        <v>602</v>
      </c>
      <c r="G17" s="370" t="s">
        <v>63</v>
      </c>
      <c r="H17" s="371" t="s">
        <v>77</v>
      </c>
      <c r="I17" s="370" t="s">
        <v>65</v>
      </c>
      <c r="J17" s="370" t="s">
        <v>66</v>
      </c>
      <c r="K17" s="370" t="s">
        <v>67</v>
      </c>
      <c r="L17" s="370" t="s">
        <v>67</v>
      </c>
      <c r="M17" s="370"/>
      <c r="N17" s="370" t="s">
        <v>65</v>
      </c>
      <c r="O17" s="370" t="s">
        <v>69</v>
      </c>
      <c r="P17" s="370" t="s">
        <v>2041</v>
      </c>
      <c r="Q17" s="370" t="s">
        <v>2558</v>
      </c>
      <c r="R17" s="370" t="s">
        <v>63</v>
      </c>
      <c r="S17" s="371" t="s">
        <v>77</v>
      </c>
      <c r="T17" s="370" t="s">
        <v>65</v>
      </c>
      <c r="U17" s="370" t="s">
        <v>66</v>
      </c>
      <c r="V17" s="370" t="s">
        <v>67</v>
      </c>
      <c r="W17" s="370" t="s">
        <v>67</v>
      </c>
      <c r="X17" s="370"/>
      <c r="Y17" s="370" t="s">
        <v>65</v>
      </c>
      <c r="Z17" s="370" t="s">
        <v>69</v>
      </c>
      <c r="AA17" s="370" t="s">
        <v>2041</v>
      </c>
      <c r="AB17" s="370" t="s">
        <v>2558</v>
      </c>
    </row>
    <row r="18" spans="2:28" ht="39.75" customHeight="1" x14ac:dyDescent="0.3">
      <c r="B18" s="565"/>
      <c r="C18" s="432" t="s">
        <v>378</v>
      </c>
      <c r="D18" s="79" t="s">
        <v>2569</v>
      </c>
      <c r="E18" s="432" t="s">
        <v>601</v>
      </c>
      <c r="F18" s="432" t="s">
        <v>602</v>
      </c>
      <c r="G18" s="370" t="s">
        <v>63</v>
      </c>
      <c r="H18" s="371" t="s">
        <v>77</v>
      </c>
      <c r="I18" s="370" t="s">
        <v>65</v>
      </c>
      <c r="J18" s="370" t="s">
        <v>66</v>
      </c>
      <c r="K18" s="370" t="s">
        <v>67</v>
      </c>
      <c r="L18" s="370" t="s">
        <v>67</v>
      </c>
      <c r="M18" s="370"/>
      <c r="N18" s="370" t="s">
        <v>65</v>
      </c>
      <c r="O18" s="370" t="s">
        <v>69</v>
      </c>
      <c r="P18" s="370" t="s">
        <v>2041</v>
      </c>
      <c r="Q18" s="370" t="s">
        <v>2558</v>
      </c>
      <c r="R18" s="370" t="s">
        <v>63</v>
      </c>
      <c r="S18" s="371" t="s">
        <v>77</v>
      </c>
      <c r="T18" s="370" t="s">
        <v>65</v>
      </c>
      <c r="U18" s="370" t="s">
        <v>66</v>
      </c>
      <c r="V18" s="370" t="s">
        <v>67</v>
      </c>
      <c r="W18" s="370" t="s">
        <v>67</v>
      </c>
      <c r="X18" s="370"/>
      <c r="Y18" s="370" t="s">
        <v>65</v>
      </c>
      <c r="Z18" s="370" t="s">
        <v>69</v>
      </c>
      <c r="AA18" s="370" t="s">
        <v>2041</v>
      </c>
      <c r="AB18" s="370" t="s">
        <v>2558</v>
      </c>
    </row>
    <row r="19" spans="2:28" x14ac:dyDescent="0.3">
      <c r="B19" s="380"/>
    </row>
    <row r="20" spans="2:28" ht="15" thickBot="1" x14ac:dyDescent="0.35"/>
    <row r="21" spans="2:28" x14ac:dyDescent="0.3">
      <c r="B21" s="372" t="s">
        <v>2546</v>
      </c>
      <c r="C21" s="373" t="s">
        <v>2547</v>
      </c>
      <c r="D21" s="374" t="s">
        <v>2548</v>
      </c>
    </row>
    <row r="22" spans="2:28" x14ac:dyDescent="0.3">
      <c r="B22" s="375" t="s">
        <v>30</v>
      </c>
      <c r="C22" t="s">
        <v>1839</v>
      </c>
      <c r="D22" s="376" t="s">
        <v>2549</v>
      </c>
      <c r="E22" t="s">
        <v>1798</v>
      </c>
    </row>
    <row r="23" spans="2:28" x14ac:dyDescent="0.3">
      <c r="B23" s="375" t="s">
        <v>31</v>
      </c>
      <c r="C23" t="s">
        <v>1840</v>
      </c>
      <c r="D23" s="376" t="s">
        <v>2550</v>
      </c>
      <c r="E23" t="s">
        <v>1798</v>
      </c>
    </row>
    <row r="24" spans="2:28" x14ac:dyDescent="0.3">
      <c r="B24" s="375" t="s">
        <v>32</v>
      </c>
      <c r="C24" t="s">
        <v>1841</v>
      </c>
      <c r="D24" s="376" t="s">
        <v>2551</v>
      </c>
      <c r="E24" t="s">
        <v>1798</v>
      </c>
    </row>
    <row r="25" spans="2:28" x14ac:dyDescent="0.3">
      <c r="B25" s="375" t="s">
        <v>33</v>
      </c>
      <c r="C25" t="s">
        <v>1842</v>
      </c>
      <c r="D25" s="376" t="s">
        <v>2552</v>
      </c>
      <c r="E25" t="s">
        <v>1798</v>
      </c>
    </row>
    <row r="26" spans="2:28" x14ac:dyDescent="0.3">
      <c r="B26" s="375" t="s">
        <v>34</v>
      </c>
      <c r="C26" t="s">
        <v>1843</v>
      </c>
      <c r="D26" s="376" t="s">
        <v>2553</v>
      </c>
      <c r="E26" t="s">
        <v>1798</v>
      </c>
    </row>
    <row r="27" spans="2:28" x14ac:dyDescent="0.3">
      <c r="B27" s="375" t="s">
        <v>35</v>
      </c>
      <c r="C27" t="s">
        <v>1844</v>
      </c>
      <c r="D27" s="376" t="s">
        <v>2554</v>
      </c>
      <c r="E27" t="s">
        <v>1798</v>
      </c>
    </row>
    <row r="28" spans="2:28" x14ac:dyDescent="0.3">
      <c r="B28" s="375" t="s">
        <v>36</v>
      </c>
      <c r="C28" s="300" t="s">
        <v>1845</v>
      </c>
      <c r="D28" s="376"/>
    </row>
    <row r="29" spans="2:28" x14ac:dyDescent="0.3">
      <c r="B29" s="375" t="s">
        <v>37</v>
      </c>
      <c r="C29" t="s">
        <v>1846</v>
      </c>
      <c r="D29" s="376" t="s">
        <v>2555</v>
      </c>
      <c r="E29" t="s">
        <v>1798</v>
      </c>
    </row>
    <row r="30" spans="2:28" ht="15" thickBot="1" x14ac:dyDescent="0.35">
      <c r="B30" s="375" t="s">
        <v>38</v>
      </c>
      <c r="C30" s="378" t="s">
        <v>1847</v>
      </c>
      <c r="D30" s="379" t="s">
        <v>2556</v>
      </c>
      <c r="E30" t="s">
        <v>1798</v>
      </c>
    </row>
  </sheetData>
  <protectedRanges>
    <protectedRange algorithmName="SHA-512" hashValue="h8lfHTpgu9sjZ5FD0TFTRW4XK4YjJlAc8LZdVTUDTQhNn0cZfXCRaOK5xKDI8TeiI4TEpREutu47LsJax8qmVQ==" saltValue="45vNl5eoNL6jcuPRFWVeJA==" spinCount="100000" sqref="P9:P18 AA9 AA11:AA18" name="Trimestre1_2"/>
    <protectedRange algorithmName="SHA-512" hashValue="/FuuMS3bGaCiHkeKhejoTbuKloDettmow+jAdK04mlTRCr306syv/mgc7i7KY9N3bEb4zcozKro3ZWG7j4F+bQ==" saltValue="5/e4EmDDqTu6D06OfqgyAg==" spinCount="100000" sqref="AA10:AB10" name="Trimestre2_2"/>
    <protectedRange algorithmName="SHA-512" hashValue="h8lfHTpgu9sjZ5FD0TFTRW4XK4YjJlAc8LZdVTUDTQhNn0cZfXCRaOK5xKDI8TeiI4TEpREutu47LsJax8qmVQ==" saltValue="45vNl5eoNL6jcuPRFWVeJA==" spinCount="100000" sqref="G9:O18" name="Trimestre1_2_4"/>
    <protectedRange algorithmName="SHA-512" hashValue="h8lfHTpgu9sjZ5FD0TFTRW4XK4YjJlAc8LZdVTUDTQhNn0cZfXCRaOK5xKDI8TeiI4TEpREutu47LsJax8qmVQ==" saltValue="45vNl5eoNL6jcuPRFWVeJA==" spinCount="100000" sqref="R9:Z18" name="Trimestre1_2_4_1"/>
    <protectedRange algorithmName="SHA-512" hashValue="h8lfHTpgu9sjZ5FD0TFTRW4XK4YjJlAc8LZdVTUDTQhNn0cZfXCRaOK5xKDI8TeiI4TEpREutu47LsJax8qmVQ==" saltValue="45vNl5eoNL6jcuPRFWVeJA==" spinCount="100000" sqref="Q9:Q18 AB9 AB11:AB18" name="Trimestre1_2_1"/>
  </protectedRanges>
  <mergeCells count="7">
    <mergeCell ref="B13:B18"/>
    <mergeCell ref="B1:D1"/>
    <mergeCell ref="F7:P7"/>
    <mergeCell ref="Q7:AA7"/>
    <mergeCell ref="B9:B10"/>
    <mergeCell ref="B11:B12"/>
    <mergeCell ref="B2:D2"/>
  </mergeCells>
  <dataValidations count="9">
    <dataValidation type="list" allowBlank="1" showInputMessage="1" showErrorMessage="1" prompt="Corresponde a los ID de los indicadores del Proyecto de Inversión" sqref="C9:C10" xr:uid="{00000000-0002-0000-1200-000000000000}">
      <formula1>INDIRECT($A$20)</formula1>
    </dataValidation>
    <dataValidation type="list" allowBlank="1" showInputMessage="1" showErrorMessage="1" prompt="Corresponde a los ID de los indicadores del Proyecto de Inversión" sqref="C11" xr:uid="{00000000-0002-0000-1200-000001000000}">
      <formula1>INDIRECT($A$22)</formula1>
    </dataValidation>
    <dataValidation type="list" allowBlank="1" showInputMessage="1" showErrorMessage="1" prompt="Corresponde a los ID de los indicadores del Proyecto de Inversión" sqref="C12:C15 C17" xr:uid="{00000000-0002-0000-1200-000002000000}">
      <formula1>INDIRECT($A$23)</formula1>
    </dataValidation>
    <dataValidation type="list" allowBlank="1" showInputMessage="1" showErrorMessage="1" prompt="Corresponde a los ID de los indicadores del Proyecto de Inversión" sqref="C18 C16" xr:uid="{00000000-0002-0000-1200-000003000000}">
      <formula1>INDIRECT($A$24)</formula1>
    </dataValidation>
    <dataValidation allowBlank="1" showInputMessage="1" showErrorMessage="1" prompt="Corresponde a la tendencia anual del indicador" sqref="E9:E18" xr:uid="{00000000-0002-0000-1200-000004000000}"/>
    <dataValidation allowBlank="1" showInputMessage="1" showErrorMessage="1" prompt="Corresponde a la unidad de medida del indicador" sqref="F9:F18" xr:uid="{00000000-0002-0000-1200-000005000000}"/>
    <dataValidation allowBlank="1" showInputMessage="1" showErrorMessage="1" prompt="Corresponde a los nombres de los indicadores del Proyecto de Inversión" sqref="D9:D18" xr:uid="{00000000-0002-0000-1200-000006000000}"/>
    <dataValidation type="textLength" operator="lessThanOrEqual" allowBlank="1" showInputMessage="1" showErrorMessage="1" sqref="AA10" xr:uid="{00000000-0002-0000-1200-000007000000}">
      <formula1>1000</formula1>
    </dataValidation>
    <dataValidation type="textLength" allowBlank="1" showInputMessage="1" showErrorMessage="1" sqref="Q9:Q18 AB9:AB18" xr:uid="{00000000-0002-0000-1200-000008000000}">
      <formula1>2</formula1>
      <formula2>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200-000009000000}">
          <x14:formula1>
            <xm:f>Listas!$P$5:$P$7</xm:f>
          </x14:formula1>
          <xm:sqref>G9:G18 R9:R18</xm:sqref>
        </x14:dataValidation>
        <x14:dataValidation type="list" allowBlank="1" showInputMessage="1" showErrorMessage="1" xr:uid="{00000000-0002-0000-1200-00000A000000}">
          <x14:formula1>
            <xm:f>Listas!$R$5:$R$8</xm:f>
          </x14:formula1>
          <xm:sqref>I9:I18 T9:T18</xm:sqref>
        </x14:dataValidation>
        <x14:dataValidation type="list" allowBlank="1" showInputMessage="1" showErrorMessage="1" xr:uid="{00000000-0002-0000-1200-00000B000000}">
          <x14:formula1>
            <xm:f>Listas!$S$5:$S$8</xm:f>
          </x14:formula1>
          <xm:sqref>J9:J18 U9:U18</xm:sqref>
        </x14:dataValidation>
        <x14:dataValidation type="list" allowBlank="1" showInputMessage="1" showErrorMessage="1" xr:uid="{00000000-0002-0000-1200-00000C000000}">
          <x14:formula1>
            <xm:f>Listas!$T$5:$T$8</xm:f>
          </x14:formula1>
          <xm:sqref>K9:K18 V9:V18</xm:sqref>
        </x14:dataValidation>
        <x14:dataValidation type="list" allowBlank="1" showInputMessage="1" showErrorMessage="1" xr:uid="{00000000-0002-0000-1200-00000D000000}">
          <x14:formula1>
            <xm:f>Listas!$U$5:$U$8</xm:f>
          </x14:formula1>
          <xm:sqref>L9:L18 W9:W18</xm:sqref>
        </x14:dataValidation>
        <x14:dataValidation type="list" allowBlank="1" showInputMessage="1" showErrorMessage="1" xr:uid="{00000000-0002-0000-1200-00000E000000}">
          <x14:formula1>
            <xm:f>Listas!$V$5:$V$8</xm:f>
          </x14:formula1>
          <xm:sqref>M9:M18 X9:X18</xm:sqref>
        </x14:dataValidation>
        <x14:dataValidation type="list" allowBlank="1" showInputMessage="1" showErrorMessage="1" xr:uid="{00000000-0002-0000-1200-00000F000000}">
          <x14:formula1>
            <xm:f>Listas!$W$5:$W$8</xm:f>
          </x14:formula1>
          <xm:sqref>N9:N18 Y9:Y18</xm:sqref>
        </x14:dataValidation>
        <x14:dataValidation type="list" allowBlank="1" showInputMessage="1" showErrorMessage="1" xr:uid="{00000000-0002-0000-1200-000010000000}">
          <x14:formula1>
            <xm:f>Listas!$X$5:$X$6</xm:f>
          </x14:formula1>
          <xm:sqref>O9:O18 Z9:Z18</xm:sqref>
        </x14:dataValidation>
        <x14:dataValidation type="list" allowBlank="1" showInputMessage="1" showErrorMessage="1" xr:uid="{00000000-0002-0000-1200-000011000000}">
          <x14:formula1>
            <xm:f>Listas!$Q$5:$Q$11</xm:f>
          </x14:formula1>
          <xm:sqref>H9:H18 S9:S18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32"/>
  <sheetViews>
    <sheetView topLeftCell="E11" workbookViewId="0">
      <selection activeCell="AD14" sqref="AD14"/>
    </sheetView>
  </sheetViews>
  <sheetFormatPr baseColWidth="10" defaultColWidth="11.44140625" defaultRowHeight="14.4" x14ac:dyDescent="0.3"/>
  <cols>
    <col min="1" max="1" width="3.109375" customWidth="1"/>
    <col min="2" max="2" width="27.5546875" customWidth="1"/>
    <col min="3" max="3" width="47.6640625" customWidth="1"/>
    <col min="4" max="4" width="91" customWidth="1"/>
    <col min="5" max="5" width="27.44140625" customWidth="1"/>
    <col min="6" max="6" width="24" customWidth="1"/>
    <col min="7" max="17" width="11.44140625" hidden="1" customWidth="1"/>
    <col min="18" max="26" width="11.44140625" customWidth="1"/>
    <col min="27" max="27" width="17.33203125" customWidth="1"/>
    <col min="28" max="28" width="11.44140625" customWidth="1"/>
  </cols>
  <sheetData>
    <row r="1" spans="1:28" ht="23.4" x14ac:dyDescent="0.45">
      <c r="B1" s="632" t="s">
        <v>2531</v>
      </c>
      <c r="C1" s="633"/>
      <c r="D1" s="603"/>
      <c r="E1" s="15"/>
      <c r="F1" s="15"/>
      <c r="G1" s="15"/>
      <c r="H1" s="15"/>
      <c r="I1" s="120" t="s">
        <v>496</v>
      </c>
      <c r="J1" s="120" t="s">
        <v>497</v>
      </c>
      <c r="K1" s="120" t="s">
        <v>498</v>
      </c>
      <c r="L1" s="120" t="s">
        <v>499</v>
      </c>
      <c r="M1" s="120" t="s">
        <v>500</v>
      </c>
      <c r="N1" s="120" t="s">
        <v>2532</v>
      </c>
      <c r="O1" s="120" t="s">
        <v>501</v>
      </c>
      <c r="P1" s="120" t="s">
        <v>502</v>
      </c>
      <c r="Q1" s="120" t="s">
        <v>503</v>
      </c>
      <c r="R1" s="120" t="s">
        <v>504</v>
      </c>
      <c r="S1" s="120" t="s">
        <v>506</v>
      </c>
      <c r="T1" s="120" t="s">
        <v>507</v>
      </c>
      <c r="U1" s="120" t="s">
        <v>508</v>
      </c>
      <c r="V1" s="120" t="s">
        <v>509</v>
      </c>
      <c r="W1" s="120" t="s">
        <v>510</v>
      </c>
      <c r="X1" s="120" t="s">
        <v>511</v>
      </c>
      <c r="Y1" s="120" t="s">
        <v>2533</v>
      </c>
      <c r="Z1" s="120" t="s">
        <v>512</v>
      </c>
      <c r="AA1" s="120" t="s">
        <v>513</v>
      </c>
      <c r="AB1" s="120" t="s">
        <v>514</v>
      </c>
    </row>
    <row r="2" spans="1:28" s="15" customFormat="1" x14ac:dyDescent="0.3">
      <c r="B2" s="636" t="s">
        <v>9</v>
      </c>
      <c r="C2" s="637"/>
      <c r="D2" s="638"/>
    </row>
    <row r="3" spans="1:28" s="15" customFormat="1" x14ac:dyDescent="0.3"/>
    <row r="4" spans="1:28" s="15" customFormat="1" x14ac:dyDescent="0.3"/>
    <row r="5" spans="1:28" s="15" customFormat="1" x14ac:dyDescent="0.3"/>
    <row r="6" spans="1:28" s="15" customFormat="1" x14ac:dyDescent="0.3"/>
    <row r="7" spans="1:28" ht="15" thickBot="1" x14ac:dyDescent="0.35">
      <c r="B7" s="15"/>
      <c r="C7" s="15"/>
      <c r="D7" s="15"/>
      <c r="E7" s="15"/>
      <c r="F7" s="634" t="s">
        <v>2534</v>
      </c>
      <c r="G7" s="634"/>
      <c r="H7" s="634"/>
      <c r="I7" s="634"/>
      <c r="J7" s="634"/>
      <c r="K7" s="634"/>
      <c r="L7" s="634"/>
      <c r="M7" s="634"/>
      <c r="N7" s="634"/>
      <c r="O7" s="634"/>
      <c r="P7" s="634"/>
      <c r="Q7" s="635" t="s">
        <v>2535</v>
      </c>
      <c r="R7" s="635"/>
      <c r="S7" s="635"/>
      <c r="T7" s="635"/>
      <c r="U7" s="635"/>
      <c r="V7" s="635"/>
      <c r="W7" s="635"/>
      <c r="X7" s="635"/>
      <c r="Y7" s="635"/>
      <c r="Z7" s="635"/>
      <c r="AA7" s="635"/>
      <c r="AB7" s="444"/>
    </row>
    <row r="8" spans="1:28" x14ac:dyDescent="0.3">
      <c r="B8" s="367" t="s">
        <v>1868</v>
      </c>
      <c r="C8" s="367" t="s">
        <v>2536</v>
      </c>
      <c r="D8" s="367" t="s">
        <v>541</v>
      </c>
      <c r="E8" s="368" t="s">
        <v>544</v>
      </c>
      <c r="F8" s="368" t="s">
        <v>413</v>
      </c>
      <c r="G8" s="369" t="s">
        <v>30</v>
      </c>
      <c r="H8" s="369" t="s">
        <v>31</v>
      </c>
      <c r="I8" s="369" t="s">
        <v>32</v>
      </c>
      <c r="J8" s="369" t="s">
        <v>33</v>
      </c>
      <c r="K8" s="369" t="s">
        <v>34</v>
      </c>
      <c r="L8" s="369" t="s">
        <v>35</v>
      </c>
      <c r="M8" s="369" t="s">
        <v>36</v>
      </c>
      <c r="N8" s="369" t="s">
        <v>37</v>
      </c>
      <c r="O8" s="369" t="s">
        <v>38</v>
      </c>
      <c r="P8" s="369" t="s">
        <v>1848</v>
      </c>
      <c r="Q8" s="369" t="s">
        <v>1850</v>
      </c>
      <c r="R8" s="369" t="s">
        <v>30</v>
      </c>
      <c r="S8" s="369" t="s">
        <v>31</v>
      </c>
      <c r="T8" s="369" t="s">
        <v>32</v>
      </c>
      <c r="U8" s="369" t="s">
        <v>33</v>
      </c>
      <c r="V8" s="369" t="s">
        <v>34</v>
      </c>
      <c r="W8" s="369" t="s">
        <v>35</v>
      </c>
      <c r="X8" s="369" t="s">
        <v>36</v>
      </c>
      <c r="Y8" s="369" t="s">
        <v>37</v>
      </c>
      <c r="Z8" s="369" t="s">
        <v>38</v>
      </c>
      <c r="AA8" s="369" t="s">
        <v>1848</v>
      </c>
      <c r="AB8" s="369" t="s">
        <v>1850</v>
      </c>
    </row>
    <row r="9" spans="1:28" ht="27" customHeight="1" x14ac:dyDescent="0.3">
      <c r="A9" s="92" t="str">
        <f>+VLOOKUP(B9,responsables,8,0)</f>
        <v>oap</v>
      </c>
      <c r="B9" s="79" t="s">
        <v>105</v>
      </c>
      <c r="C9" s="432" t="s">
        <v>340</v>
      </c>
      <c r="D9" s="79" t="s">
        <v>1212</v>
      </c>
      <c r="E9" s="432" t="s">
        <v>601</v>
      </c>
      <c r="F9" s="432" t="s">
        <v>602</v>
      </c>
      <c r="G9" s="370" t="s">
        <v>90</v>
      </c>
      <c r="H9" s="371" t="s">
        <v>77</v>
      </c>
      <c r="I9" s="370" t="s">
        <v>65</v>
      </c>
      <c r="J9" s="370" t="s">
        <v>66</v>
      </c>
      <c r="K9" s="370" t="s">
        <v>67</v>
      </c>
      <c r="L9" s="370" t="s">
        <v>67</v>
      </c>
      <c r="M9" s="370" t="s">
        <v>90</v>
      </c>
      <c r="N9" s="370" t="s">
        <v>65</v>
      </c>
      <c r="O9" s="370" t="s">
        <v>69</v>
      </c>
      <c r="P9" s="370" t="s">
        <v>2570</v>
      </c>
      <c r="Q9" s="370" t="s">
        <v>332</v>
      </c>
      <c r="R9" s="370"/>
      <c r="S9" s="371"/>
      <c r="T9" s="370"/>
      <c r="U9" s="370"/>
      <c r="V9" s="370"/>
      <c r="W9" s="370"/>
      <c r="X9" s="370"/>
      <c r="Y9" s="370"/>
      <c r="Z9" s="370"/>
      <c r="AA9" s="370"/>
      <c r="AB9" s="370"/>
    </row>
    <row r="10" spans="1:28" ht="42" customHeight="1" x14ac:dyDescent="0.3">
      <c r="B10" s="566" t="s">
        <v>155</v>
      </c>
      <c r="C10" s="432">
        <v>153</v>
      </c>
      <c r="D10" s="79" t="s">
        <v>1224</v>
      </c>
      <c r="E10" s="432" t="s">
        <v>601</v>
      </c>
      <c r="F10" s="432" t="s">
        <v>602</v>
      </c>
      <c r="G10" s="370" t="s">
        <v>90</v>
      </c>
      <c r="H10" s="371" t="s">
        <v>77</v>
      </c>
      <c r="I10" s="370" t="s">
        <v>65</v>
      </c>
      <c r="J10" s="370" t="s">
        <v>66</v>
      </c>
      <c r="K10" s="370" t="s">
        <v>67</v>
      </c>
      <c r="L10" s="370" t="s">
        <v>67</v>
      </c>
      <c r="M10" s="370" t="s">
        <v>90</v>
      </c>
      <c r="N10" s="370" t="s">
        <v>65</v>
      </c>
      <c r="O10" s="370" t="s">
        <v>69</v>
      </c>
      <c r="P10" s="370" t="s">
        <v>2571</v>
      </c>
      <c r="Q10" s="370" t="s">
        <v>1893</v>
      </c>
      <c r="R10" s="370" t="s">
        <v>63</v>
      </c>
      <c r="S10" s="371" t="s">
        <v>77</v>
      </c>
      <c r="T10" s="370" t="s">
        <v>65</v>
      </c>
      <c r="U10" s="370" t="s">
        <v>66</v>
      </c>
      <c r="V10" s="370" t="s">
        <v>67</v>
      </c>
      <c r="W10" s="370" t="s">
        <v>67</v>
      </c>
      <c r="X10" s="370" t="s">
        <v>90</v>
      </c>
      <c r="Y10" s="370" t="s">
        <v>65</v>
      </c>
      <c r="Z10" s="370" t="s">
        <v>69</v>
      </c>
      <c r="AA10" s="370" t="s">
        <v>2571</v>
      </c>
      <c r="AB10" s="370" t="s">
        <v>1893</v>
      </c>
    </row>
    <row r="11" spans="1:28" ht="42" customHeight="1" x14ac:dyDescent="0.3">
      <c r="B11" s="566"/>
      <c r="C11" s="432">
        <v>154</v>
      </c>
      <c r="D11" s="79" t="s">
        <v>1234</v>
      </c>
      <c r="E11" s="432" t="s">
        <v>601</v>
      </c>
      <c r="F11" s="432" t="s">
        <v>602</v>
      </c>
      <c r="G11" s="370" t="s">
        <v>90</v>
      </c>
      <c r="H11" s="371" t="s">
        <v>77</v>
      </c>
      <c r="I11" s="370" t="s">
        <v>65</v>
      </c>
      <c r="J11" s="370" t="s">
        <v>66</v>
      </c>
      <c r="K11" s="370" t="s">
        <v>67</v>
      </c>
      <c r="L11" s="370" t="s">
        <v>67</v>
      </c>
      <c r="M11" s="370" t="s">
        <v>90</v>
      </c>
      <c r="N11" s="370" t="s">
        <v>65</v>
      </c>
      <c r="O11" s="370" t="s">
        <v>69</v>
      </c>
      <c r="P11" s="370" t="s">
        <v>2571</v>
      </c>
      <c r="Q11" s="370" t="s">
        <v>1893</v>
      </c>
      <c r="R11" s="370" t="s">
        <v>63</v>
      </c>
      <c r="S11" s="371" t="s">
        <v>77</v>
      </c>
      <c r="T11" s="370" t="s">
        <v>65</v>
      </c>
      <c r="U11" s="370" t="s">
        <v>66</v>
      </c>
      <c r="V11" s="370" t="s">
        <v>67</v>
      </c>
      <c r="W11" s="370" t="s">
        <v>67</v>
      </c>
      <c r="X11" s="370" t="s">
        <v>90</v>
      </c>
      <c r="Y11" s="370" t="s">
        <v>65</v>
      </c>
      <c r="Z11" s="370" t="s">
        <v>69</v>
      </c>
      <c r="AA11" s="370" t="s">
        <v>2571</v>
      </c>
      <c r="AB11" s="370" t="s">
        <v>1893</v>
      </c>
    </row>
    <row r="12" spans="1:28" ht="42" customHeight="1" x14ac:dyDescent="0.3">
      <c r="B12" s="566"/>
      <c r="C12" s="432">
        <v>156</v>
      </c>
      <c r="D12" s="79" t="s">
        <v>1243</v>
      </c>
      <c r="E12" s="432" t="s">
        <v>601</v>
      </c>
      <c r="F12" s="432" t="s">
        <v>602</v>
      </c>
      <c r="G12" s="370" t="s">
        <v>90</v>
      </c>
      <c r="H12" s="371" t="s">
        <v>77</v>
      </c>
      <c r="I12" s="370" t="s">
        <v>65</v>
      </c>
      <c r="J12" s="370" t="s">
        <v>66</v>
      </c>
      <c r="K12" s="370" t="s">
        <v>67</v>
      </c>
      <c r="L12" s="370" t="s">
        <v>67</v>
      </c>
      <c r="M12" s="370" t="s">
        <v>90</v>
      </c>
      <c r="N12" s="370" t="s">
        <v>65</v>
      </c>
      <c r="O12" s="370" t="s">
        <v>69</v>
      </c>
      <c r="P12" s="370" t="s">
        <v>2571</v>
      </c>
      <c r="Q12" s="370" t="s">
        <v>1893</v>
      </c>
      <c r="R12" s="370" t="s">
        <v>63</v>
      </c>
      <c r="S12" s="371" t="s">
        <v>77</v>
      </c>
      <c r="T12" s="370" t="s">
        <v>65</v>
      </c>
      <c r="U12" s="370" t="s">
        <v>66</v>
      </c>
      <c r="V12" s="370" t="s">
        <v>67</v>
      </c>
      <c r="W12" s="370" t="s">
        <v>67</v>
      </c>
      <c r="X12" s="370" t="s">
        <v>90</v>
      </c>
      <c r="Y12" s="370" t="s">
        <v>65</v>
      </c>
      <c r="Z12" s="370" t="s">
        <v>69</v>
      </c>
      <c r="AA12" s="370" t="s">
        <v>2571</v>
      </c>
      <c r="AB12" s="370" t="s">
        <v>1893</v>
      </c>
    </row>
    <row r="13" spans="1:28" ht="42" customHeight="1" x14ac:dyDescent="0.3">
      <c r="B13" s="566"/>
      <c r="C13" s="432">
        <v>159</v>
      </c>
      <c r="D13" s="79" t="s">
        <v>1252</v>
      </c>
      <c r="E13" s="432" t="s">
        <v>601</v>
      </c>
      <c r="F13" s="432" t="s">
        <v>602</v>
      </c>
      <c r="G13" s="370" t="s">
        <v>90</v>
      </c>
      <c r="H13" s="371" t="s">
        <v>77</v>
      </c>
      <c r="I13" s="370" t="s">
        <v>65</v>
      </c>
      <c r="J13" s="370" t="s">
        <v>66</v>
      </c>
      <c r="K13" s="370" t="s">
        <v>67</v>
      </c>
      <c r="L13" s="370" t="s">
        <v>67</v>
      </c>
      <c r="M13" s="370" t="s">
        <v>90</v>
      </c>
      <c r="N13" s="370" t="s">
        <v>78</v>
      </c>
      <c r="O13" s="370" t="s">
        <v>69</v>
      </c>
      <c r="P13" s="370" t="s">
        <v>2571</v>
      </c>
      <c r="Q13" s="370" t="s">
        <v>1893</v>
      </c>
      <c r="R13" s="370" t="s">
        <v>63</v>
      </c>
      <c r="S13" s="371" t="s">
        <v>77</v>
      </c>
      <c r="T13" s="370" t="s">
        <v>65</v>
      </c>
      <c r="U13" s="370" t="s">
        <v>66</v>
      </c>
      <c r="V13" s="370" t="s">
        <v>67</v>
      </c>
      <c r="W13" s="370" t="s">
        <v>67</v>
      </c>
      <c r="X13" s="370" t="s">
        <v>90</v>
      </c>
      <c r="Y13" s="370" t="s">
        <v>65</v>
      </c>
      <c r="Z13" s="370" t="s">
        <v>69</v>
      </c>
      <c r="AA13" s="370" t="s">
        <v>2571</v>
      </c>
      <c r="AB13" s="370" t="s">
        <v>1893</v>
      </c>
    </row>
    <row r="14" spans="1:28" ht="27" customHeight="1" x14ac:dyDescent="0.3">
      <c r="B14" s="566" t="s">
        <v>159</v>
      </c>
      <c r="C14" s="432">
        <v>134</v>
      </c>
      <c r="D14" s="79" t="s">
        <v>1262</v>
      </c>
      <c r="E14" s="432" t="s">
        <v>601</v>
      </c>
      <c r="F14" s="432" t="s">
        <v>602</v>
      </c>
      <c r="G14" s="370" t="s">
        <v>63</v>
      </c>
      <c r="H14" s="371" t="s">
        <v>104</v>
      </c>
      <c r="I14" s="370" t="s">
        <v>65</v>
      </c>
      <c r="J14" s="370" t="s">
        <v>66</v>
      </c>
      <c r="K14" s="370" t="s">
        <v>67</v>
      </c>
      <c r="L14" s="370" t="s">
        <v>67</v>
      </c>
      <c r="M14" s="370" t="s">
        <v>68</v>
      </c>
      <c r="N14" s="370" t="s">
        <v>65</v>
      </c>
      <c r="O14" s="370" t="s">
        <v>69</v>
      </c>
      <c r="P14" s="370" t="s">
        <v>2572</v>
      </c>
      <c r="Q14" s="370" t="s">
        <v>1945</v>
      </c>
      <c r="R14" s="370" t="s">
        <v>63</v>
      </c>
      <c r="S14" s="371" t="s">
        <v>77</v>
      </c>
      <c r="T14" s="370" t="s">
        <v>65</v>
      </c>
      <c r="U14" s="370" t="s">
        <v>66</v>
      </c>
      <c r="V14" s="370" t="s">
        <v>67</v>
      </c>
      <c r="W14" s="370" t="s">
        <v>67</v>
      </c>
      <c r="X14" s="370" t="s">
        <v>68</v>
      </c>
      <c r="Y14" s="370" t="s">
        <v>65</v>
      </c>
      <c r="Z14" s="370" t="s">
        <v>69</v>
      </c>
      <c r="AA14" s="370" t="s">
        <v>2559</v>
      </c>
      <c r="AB14" s="370" t="s">
        <v>1945</v>
      </c>
    </row>
    <row r="15" spans="1:28" ht="27" customHeight="1" x14ac:dyDescent="0.3">
      <c r="B15" s="566"/>
      <c r="C15" s="432" t="s">
        <v>345</v>
      </c>
      <c r="D15" s="79" t="s">
        <v>1274</v>
      </c>
      <c r="E15" s="432" t="s">
        <v>601</v>
      </c>
      <c r="F15" s="432" t="s">
        <v>602</v>
      </c>
      <c r="G15" s="370" t="s">
        <v>63</v>
      </c>
      <c r="H15" s="371" t="s">
        <v>77</v>
      </c>
      <c r="I15" s="370" t="s">
        <v>65</v>
      </c>
      <c r="J15" s="370" t="s">
        <v>66</v>
      </c>
      <c r="K15" s="370" t="s">
        <v>67</v>
      </c>
      <c r="L15" s="370" t="s">
        <v>67</v>
      </c>
      <c r="M15" s="370" t="s">
        <v>68</v>
      </c>
      <c r="N15" s="370" t="s">
        <v>65</v>
      </c>
      <c r="O15" s="370" t="s">
        <v>69</v>
      </c>
      <c r="P15" s="370" t="s">
        <v>2559</v>
      </c>
      <c r="Q15" s="370" t="s">
        <v>1945</v>
      </c>
      <c r="R15" s="370" t="s">
        <v>63</v>
      </c>
      <c r="S15" s="371" t="s">
        <v>77</v>
      </c>
      <c r="T15" s="370" t="s">
        <v>65</v>
      </c>
      <c r="U15" s="370" t="s">
        <v>66</v>
      </c>
      <c r="V15" s="370" t="s">
        <v>67</v>
      </c>
      <c r="W15" s="370" t="s">
        <v>67</v>
      </c>
      <c r="X15" s="370" t="s">
        <v>68</v>
      </c>
      <c r="Y15" s="370" t="s">
        <v>65</v>
      </c>
      <c r="Z15" s="370" t="s">
        <v>69</v>
      </c>
      <c r="AA15" s="370" t="s">
        <v>2559</v>
      </c>
      <c r="AB15" s="370" t="s">
        <v>1945</v>
      </c>
    </row>
    <row r="16" spans="1:28" ht="27" customHeight="1" x14ac:dyDescent="0.3">
      <c r="B16" s="566" t="s">
        <v>163</v>
      </c>
      <c r="C16" s="432">
        <v>160</v>
      </c>
      <c r="D16" s="79" t="s">
        <v>1285</v>
      </c>
      <c r="E16" s="432" t="s">
        <v>638</v>
      </c>
      <c r="F16" s="432" t="s">
        <v>639</v>
      </c>
      <c r="G16" s="370" t="s">
        <v>63</v>
      </c>
      <c r="H16" s="371" t="s">
        <v>64</v>
      </c>
      <c r="I16" s="370" t="s">
        <v>65</v>
      </c>
      <c r="J16" s="370" t="s">
        <v>66</v>
      </c>
      <c r="K16" s="370" t="s">
        <v>67</v>
      </c>
      <c r="L16" s="370" t="s">
        <v>67</v>
      </c>
      <c r="M16" s="370" t="s">
        <v>68</v>
      </c>
      <c r="N16" s="370" t="s">
        <v>65</v>
      </c>
      <c r="O16" s="370" t="s">
        <v>69</v>
      </c>
      <c r="P16" s="370" t="s">
        <v>2559</v>
      </c>
      <c r="Q16" s="370" t="s">
        <v>1945</v>
      </c>
      <c r="R16" s="370" t="s">
        <v>63</v>
      </c>
      <c r="S16" s="371" t="s">
        <v>77</v>
      </c>
      <c r="T16" s="370" t="s">
        <v>65</v>
      </c>
      <c r="U16" s="370" t="s">
        <v>79</v>
      </c>
      <c r="V16" s="370" t="s">
        <v>80</v>
      </c>
      <c r="W16" s="370" t="s">
        <v>67</v>
      </c>
      <c r="X16" s="370" t="s">
        <v>68</v>
      </c>
      <c r="Y16" s="370" t="s">
        <v>65</v>
      </c>
      <c r="Z16" s="370" t="s">
        <v>69</v>
      </c>
      <c r="AA16" s="370" t="s">
        <v>2573</v>
      </c>
      <c r="AB16" s="370" t="s">
        <v>1945</v>
      </c>
    </row>
    <row r="17" spans="2:28" ht="27" customHeight="1" x14ac:dyDescent="0.3">
      <c r="B17" s="566"/>
      <c r="C17" s="432" t="s">
        <v>346</v>
      </c>
      <c r="D17" s="79" t="s">
        <v>1295</v>
      </c>
      <c r="E17" s="432" t="s">
        <v>601</v>
      </c>
      <c r="F17" s="432" t="s">
        <v>602</v>
      </c>
      <c r="G17" s="370" t="s">
        <v>63</v>
      </c>
      <c r="H17" s="371" t="s">
        <v>91</v>
      </c>
      <c r="I17" s="370" t="s">
        <v>78</v>
      </c>
      <c r="J17" s="370" t="s">
        <v>66</v>
      </c>
      <c r="K17" s="370" t="s">
        <v>67</v>
      </c>
      <c r="L17" s="370" t="s">
        <v>67</v>
      </c>
      <c r="M17" s="370" t="s">
        <v>68</v>
      </c>
      <c r="N17" s="370" t="s">
        <v>65</v>
      </c>
      <c r="O17" s="370" t="s">
        <v>69</v>
      </c>
      <c r="P17" s="370" t="s">
        <v>2574</v>
      </c>
      <c r="Q17" s="370" t="s">
        <v>1945</v>
      </c>
      <c r="R17" s="370" t="s">
        <v>63</v>
      </c>
      <c r="S17" s="371" t="s">
        <v>77</v>
      </c>
      <c r="T17" s="370" t="s">
        <v>65</v>
      </c>
      <c r="U17" s="370" t="s">
        <v>79</v>
      </c>
      <c r="V17" s="370" t="s">
        <v>80</v>
      </c>
      <c r="W17" s="370" t="s">
        <v>67</v>
      </c>
      <c r="X17" s="370" t="s">
        <v>68</v>
      </c>
      <c r="Y17" s="370" t="s">
        <v>65</v>
      </c>
      <c r="Z17" s="370" t="s">
        <v>69</v>
      </c>
      <c r="AA17" s="370" t="s">
        <v>2575</v>
      </c>
      <c r="AB17" s="370" t="s">
        <v>1945</v>
      </c>
    </row>
    <row r="18" spans="2:28" ht="27" hidden="1" customHeight="1" x14ac:dyDescent="0.3">
      <c r="B18" s="432" t="s">
        <v>167</v>
      </c>
      <c r="C18" s="432">
        <v>161</v>
      </c>
      <c r="D18" s="79" t="s">
        <v>2576</v>
      </c>
      <c r="E18" s="432" t="s">
        <v>601</v>
      </c>
      <c r="F18" s="432" t="s">
        <v>602</v>
      </c>
      <c r="G18" s="370"/>
      <c r="H18" s="371"/>
      <c r="I18" s="370"/>
      <c r="J18" s="370"/>
      <c r="K18" s="370"/>
      <c r="L18" s="370"/>
      <c r="M18" s="370"/>
      <c r="N18" s="370"/>
      <c r="O18" s="370"/>
      <c r="P18" s="370"/>
      <c r="Q18" s="370"/>
      <c r="R18" s="370"/>
      <c r="S18" s="371"/>
      <c r="T18" s="370"/>
      <c r="U18" s="370"/>
      <c r="V18" s="370"/>
      <c r="W18" s="370"/>
      <c r="X18" s="370"/>
      <c r="Y18" s="370"/>
      <c r="Z18" s="370"/>
      <c r="AA18" s="370"/>
      <c r="AB18" s="370"/>
    </row>
    <row r="19" spans="2:28" ht="52.5" customHeight="1" x14ac:dyDescent="0.3">
      <c r="B19" s="566" t="s">
        <v>39</v>
      </c>
      <c r="C19" s="432">
        <v>138</v>
      </c>
      <c r="D19" s="79" t="s">
        <v>1319</v>
      </c>
      <c r="E19" s="432" t="s">
        <v>601</v>
      </c>
      <c r="F19" s="432" t="s">
        <v>602</v>
      </c>
      <c r="G19" s="370" t="s">
        <v>63</v>
      </c>
      <c r="H19" s="371" t="s">
        <v>77</v>
      </c>
      <c r="I19" s="370" t="s">
        <v>65</v>
      </c>
      <c r="J19" s="370" t="s">
        <v>66</v>
      </c>
      <c r="K19" s="370" t="s">
        <v>67</v>
      </c>
      <c r="L19" s="370" t="s">
        <v>67</v>
      </c>
      <c r="M19" s="370" t="s">
        <v>90</v>
      </c>
      <c r="N19" s="370" t="s">
        <v>65</v>
      </c>
      <c r="O19" s="370" t="s">
        <v>69</v>
      </c>
      <c r="P19" s="370" t="s">
        <v>2041</v>
      </c>
      <c r="Q19" s="370" t="s">
        <v>2577</v>
      </c>
      <c r="R19" s="370" t="s">
        <v>63</v>
      </c>
      <c r="S19" s="371" t="s">
        <v>77</v>
      </c>
      <c r="T19" s="370" t="s">
        <v>65</v>
      </c>
      <c r="U19" s="370" t="s">
        <v>66</v>
      </c>
      <c r="V19" s="370" t="s">
        <v>67</v>
      </c>
      <c r="W19" s="370" t="s">
        <v>67</v>
      </c>
      <c r="X19" s="370" t="s">
        <v>90</v>
      </c>
      <c r="Y19" s="370" t="s">
        <v>65</v>
      </c>
      <c r="Z19" s="370" t="s">
        <v>69</v>
      </c>
      <c r="AA19" s="370" t="s">
        <v>2041</v>
      </c>
      <c r="AB19" s="370"/>
    </row>
    <row r="20" spans="2:28" ht="37.5" customHeight="1" x14ac:dyDescent="0.3">
      <c r="B20" s="566"/>
      <c r="C20" s="432">
        <v>145</v>
      </c>
      <c r="D20" s="79" t="s">
        <v>1328</v>
      </c>
      <c r="E20" s="432" t="s">
        <v>601</v>
      </c>
      <c r="F20" s="432" t="s">
        <v>602</v>
      </c>
      <c r="G20" s="370" t="s">
        <v>63</v>
      </c>
      <c r="H20" s="371" t="s">
        <v>77</v>
      </c>
      <c r="I20" s="370" t="s">
        <v>65</v>
      </c>
      <c r="J20" s="370" t="s">
        <v>66</v>
      </c>
      <c r="K20" s="370" t="s">
        <v>67</v>
      </c>
      <c r="L20" s="370" t="s">
        <v>67</v>
      </c>
      <c r="M20" s="370" t="s">
        <v>90</v>
      </c>
      <c r="N20" s="370" t="s">
        <v>65</v>
      </c>
      <c r="O20" s="370" t="s">
        <v>69</v>
      </c>
      <c r="P20" s="370" t="s">
        <v>2041</v>
      </c>
      <c r="Q20" s="370" t="s">
        <v>2577</v>
      </c>
      <c r="R20" s="370" t="s">
        <v>63</v>
      </c>
      <c r="S20" s="371" t="s">
        <v>77</v>
      </c>
      <c r="T20" s="370" t="s">
        <v>65</v>
      </c>
      <c r="U20" s="370" t="s">
        <v>66</v>
      </c>
      <c r="V20" s="370" t="s">
        <v>67</v>
      </c>
      <c r="W20" s="370" t="s">
        <v>67</v>
      </c>
      <c r="X20" s="370" t="s">
        <v>90</v>
      </c>
      <c r="Y20" s="370" t="s">
        <v>65</v>
      </c>
      <c r="Z20" s="370" t="s">
        <v>69</v>
      </c>
      <c r="AA20" s="370" t="s">
        <v>2041</v>
      </c>
      <c r="AB20" s="370"/>
    </row>
    <row r="21" spans="2:28" x14ac:dyDescent="0.3">
      <c r="B21" s="380"/>
    </row>
    <row r="22" spans="2:28" ht="15" thickBot="1" x14ac:dyDescent="0.35"/>
    <row r="23" spans="2:28" x14ac:dyDescent="0.3">
      <c r="B23" s="372" t="s">
        <v>2546</v>
      </c>
      <c r="C23" s="373" t="s">
        <v>2547</v>
      </c>
      <c r="D23" s="374" t="s">
        <v>2548</v>
      </c>
    </row>
    <row r="24" spans="2:28" x14ac:dyDescent="0.3">
      <c r="B24" s="375" t="s">
        <v>30</v>
      </c>
      <c r="C24" t="s">
        <v>1839</v>
      </c>
      <c r="D24" s="376" t="s">
        <v>2549</v>
      </c>
      <c r="E24" t="s">
        <v>1798</v>
      </c>
    </row>
    <row r="25" spans="2:28" x14ac:dyDescent="0.3">
      <c r="B25" s="375" t="s">
        <v>31</v>
      </c>
      <c r="C25" t="s">
        <v>1840</v>
      </c>
      <c r="D25" s="376" t="s">
        <v>2550</v>
      </c>
      <c r="E25" t="s">
        <v>1798</v>
      </c>
    </row>
    <row r="26" spans="2:28" x14ac:dyDescent="0.3">
      <c r="B26" s="375" t="s">
        <v>32</v>
      </c>
      <c r="C26" t="s">
        <v>1841</v>
      </c>
      <c r="D26" s="376" t="s">
        <v>2551</v>
      </c>
      <c r="E26" t="s">
        <v>1798</v>
      </c>
    </row>
    <row r="27" spans="2:28" x14ac:dyDescent="0.3">
      <c r="B27" s="375" t="s">
        <v>33</v>
      </c>
      <c r="C27" t="s">
        <v>1842</v>
      </c>
      <c r="D27" s="376" t="s">
        <v>2552</v>
      </c>
      <c r="E27" t="s">
        <v>1798</v>
      </c>
    </row>
    <row r="28" spans="2:28" x14ac:dyDescent="0.3">
      <c r="B28" s="375" t="s">
        <v>34</v>
      </c>
      <c r="C28" t="s">
        <v>1843</v>
      </c>
      <c r="D28" s="376" t="s">
        <v>2553</v>
      </c>
      <c r="E28" t="s">
        <v>1798</v>
      </c>
    </row>
    <row r="29" spans="2:28" x14ac:dyDescent="0.3">
      <c r="B29" s="375" t="s">
        <v>35</v>
      </c>
      <c r="C29" t="s">
        <v>1844</v>
      </c>
      <c r="D29" s="376" t="s">
        <v>2554</v>
      </c>
      <c r="E29" t="s">
        <v>1798</v>
      </c>
    </row>
    <row r="30" spans="2:28" x14ac:dyDescent="0.3">
      <c r="B30" s="375" t="s">
        <v>36</v>
      </c>
      <c r="C30" s="300" t="s">
        <v>1845</v>
      </c>
      <c r="D30" s="376"/>
    </row>
    <row r="31" spans="2:28" x14ac:dyDescent="0.3">
      <c r="B31" s="375" t="s">
        <v>37</v>
      </c>
      <c r="C31" t="s">
        <v>1846</v>
      </c>
      <c r="D31" s="376" t="s">
        <v>2555</v>
      </c>
      <c r="E31" t="s">
        <v>1798</v>
      </c>
    </row>
    <row r="32" spans="2:28" ht="15" thickBot="1" x14ac:dyDescent="0.35">
      <c r="B32" s="375" t="s">
        <v>38</v>
      </c>
      <c r="C32" s="378" t="s">
        <v>1847</v>
      </c>
      <c r="D32" s="379" t="s">
        <v>2556</v>
      </c>
      <c r="E32" t="s">
        <v>1798</v>
      </c>
    </row>
  </sheetData>
  <protectedRanges>
    <protectedRange algorithmName="SHA-512" hashValue="h8lfHTpgu9sjZ5FD0TFTRW4XK4YjJlAc8LZdVTUDTQhNn0cZfXCRaOK5xKDI8TeiI4TEpREutu47LsJax8qmVQ==" saltValue="45vNl5eoNL6jcuPRFWVeJA==" spinCount="100000" sqref="P9:Q20 AA10:AB13" name="Trimestre1_2"/>
    <protectedRange algorithmName="SHA-512" hashValue="/FuuMS3bGaCiHkeKhejoTbuKloDettmow+jAdK04mlTRCr306syv/mgc7i7KY9N3bEb4zcozKro3ZWG7j4F+bQ==" saltValue="5/e4EmDDqTu6D06OfqgyAg==" spinCount="100000" sqref="AA9:AB9 AA14:AB20" name="Trimestre2_2"/>
    <protectedRange algorithmName="SHA-512" hashValue="h8lfHTpgu9sjZ5FD0TFTRW4XK4YjJlAc8LZdVTUDTQhNn0cZfXCRaOK5xKDI8TeiI4TEpREutu47LsJax8qmVQ==" saltValue="45vNl5eoNL6jcuPRFWVeJA==" spinCount="100000" sqref="G10:G20" name="Trimestre1_2_2"/>
    <protectedRange algorithmName="SHA-512" hashValue="h8lfHTpgu9sjZ5FD0TFTRW4XK4YjJlAc8LZdVTUDTQhNn0cZfXCRaOK5xKDI8TeiI4TEpREutu47LsJax8qmVQ==" saltValue="45vNl5eoNL6jcuPRFWVeJA==" spinCount="100000" sqref="H10:H20" name="Trimestre1_2_3"/>
    <protectedRange algorithmName="SHA-512" hashValue="h8lfHTpgu9sjZ5FD0TFTRW4XK4YjJlAc8LZdVTUDTQhNn0cZfXCRaOK5xKDI8TeiI4TEpREutu47LsJax8qmVQ==" saltValue="45vNl5eoNL6jcuPRFWVeJA==" spinCount="100000" sqref="G9:O9 I10:O20 R9:Z20" name="Trimestre1_2_4"/>
  </protectedRanges>
  <mergeCells count="8">
    <mergeCell ref="B19:B20"/>
    <mergeCell ref="B2:D2"/>
    <mergeCell ref="B1:D1"/>
    <mergeCell ref="F7:P7"/>
    <mergeCell ref="Q7:AA7"/>
    <mergeCell ref="B10:B13"/>
    <mergeCell ref="B14:B15"/>
    <mergeCell ref="B16:B17"/>
  </mergeCells>
  <dataValidations count="11">
    <dataValidation type="list" allowBlank="1" showInputMessage="1" showErrorMessage="1" prompt="Corresponde a los ID de los indicadores del Proyecto de Inversión" sqref="C14:C15" xr:uid="{00000000-0002-0000-1300-000000000000}">
      <formula1>INDIRECT(#REF!)</formula1>
    </dataValidation>
    <dataValidation type="list" allowBlank="1" showInputMessage="1" showErrorMessage="1" prompt="Corresponde a los ID de los indicadores del Proyecto de Inversión" sqref="C9" xr:uid="{00000000-0002-0000-1300-000001000000}">
      <formula1>INDIRECT($A$15)</formula1>
    </dataValidation>
    <dataValidation type="list" allowBlank="1" showInputMessage="1" showErrorMessage="1" prompt="Corresponde a los ID de los indicadores del Proyecto de Inversión" sqref="C10:C13" xr:uid="{00000000-0002-0000-1300-000002000000}">
      <formula1>INDIRECT($A$17)</formula1>
    </dataValidation>
    <dataValidation type="list" allowBlank="1" showInputMessage="1" showErrorMessage="1" prompt="Corresponde a los ID de los indicadores del Proyecto de Inversión" sqref="C16:C17" xr:uid="{00000000-0002-0000-1300-000003000000}">
      <formula1>INDIRECT($A$22)</formula1>
    </dataValidation>
    <dataValidation type="list" allowBlank="1" showInputMessage="1" showErrorMessage="1" prompt="Corresponde a los ID de los indicadores del Proyecto de Inversión" sqref="C18" xr:uid="{00000000-0002-0000-1300-000004000000}">
      <formula1>INDIRECT($A$24)</formula1>
    </dataValidation>
    <dataValidation type="list" allowBlank="1" showInputMessage="1" showErrorMessage="1" prompt="Corresponde a los ID de los indicadores del Proyecto de Inversión" sqref="C19:C20" xr:uid="{00000000-0002-0000-1300-000005000000}">
      <formula1>INDIRECT($A$25)</formula1>
    </dataValidation>
    <dataValidation type="textLength" allowBlank="1" showInputMessage="1" showErrorMessage="1" sqref="Q9:Q20 AB9:AB20" xr:uid="{00000000-0002-0000-1300-000006000000}">
      <formula1>2</formula1>
      <formula2>50</formula2>
    </dataValidation>
    <dataValidation type="textLength" operator="lessThanOrEqual" allowBlank="1" showInputMessage="1" showErrorMessage="1" sqref="AA9 AA14:AA20" xr:uid="{00000000-0002-0000-1300-000007000000}">
      <formula1>1000</formula1>
    </dataValidation>
    <dataValidation allowBlank="1" showInputMessage="1" showErrorMessage="1" prompt="Corresponde a los nombres de los indicadores del Proyecto de Inversión" sqref="D9:D20" xr:uid="{00000000-0002-0000-1300-000008000000}"/>
    <dataValidation allowBlank="1" showInputMessage="1" showErrorMessage="1" prompt="Corresponde a la unidad de medida del indicador" sqref="F9:F20" xr:uid="{00000000-0002-0000-1300-000009000000}"/>
    <dataValidation allowBlank="1" showInputMessage="1" showErrorMessage="1" prompt="Corresponde a la tendencia anual del indicador" sqref="E9:E20" xr:uid="{00000000-0002-0000-1300-00000A000000}"/>
  </dataValidations>
  <pageMargins left="0.7" right="0.7" top="0.75" bottom="0.75"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300-00000B000000}">
          <x14:formula1>
            <xm:f>Listas!$P$5:$P$7</xm:f>
          </x14:formula1>
          <xm:sqref>G9:G20 R9:R20</xm:sqref>
        </x14:dataValidation>
        <x14:dataValidation type="list" allowBlank="1" showInputMessage="1" showErrorMessage="1" xr:uid="{00000000-0002-0000-1300-00000C000000}">
          <x14:formula1>
            <xm:f>Listas!$Q$5:$Q$11</xm:f>
          </x14:formula1>
          <xm:sqref>H9:H20 S9:S20</xm:sqref>
        </x14:dataValidation>
        <x14:dataValidation type="list" allowBlank="1" showInputMessage="1" showErrorMessage="1" xr:uid="{00000000-0002-0000-1300-00000D000000}">
          <x14:formula1>
            <xm:f>Listas!$X$5:$X$6</xm:f>
          </x14:formula1>
          <xm:sqref>O9:O20 Z9:Z20</xm:sqref>
        </x14:dataValidation>
        <x14:dataValidation type="list" allowBlank="1" showInputMessage="1" showErrorMessage="1" xr:uid="{00000000-0002-0000-1300-00000E000000}">
          <x14:formula1>
            <xm:f>Listas!$W$5:$W$8</xm:f>
          </x14:formula1>
          <xm:sqref>N9:N20 Y9:Y20</xm:sqref>
        </x14:dataValidation>
        <x14:dataValidation type="list" allowBlank="1" showInputMessage="1" showErrorMessage="1" xr:uid="{00000000-0002-0000-1300-00000F000000}">
          <x14:formula1>
            <xm:f>Listas!$V$5:$V$8</xm:f>
          </x14:formula1>
          <xm:sqref>M9:M20 X9:X20</xm:sqref>
        </x14:dataValidation>
        <x14:dataValidation type="list" allowBlank="1" showInputMessage="1" showErrorMessage="1" xr:uid="{00000000-0002-0000-1300-000010000000}">
          <x14:formula1>
            <xm:f>Listas!$U$5:$U$8</xm:f>
          </x14:formula1>
          <xm:sqref>L9:L20 W9:W20</xm:sqref>
        </x14:dataValidation>
        <x14:dataValidation type="list" allowBlank="1" showInputMessage="1" showErrorMessage="1" xr:uid="{00000000-0002-0000-1300-000011000000}">
          <x14:formula1>
            <xm:f>Listas!$T$5:$T$8</xm:f>
          </x14:formula1>
          <xm:sqref>K9:K20 V9:V20</xm:sqref>
        </x14:dataValidation>
        <x14:dataValidation type="list" allowBlank="1" showInputMessage="1" showErrorMessage="1" xr:uid="{00000000-0002-0000-1300-000012000000}">
          <x14:formula1>
            <xm:f>Listas!$S$5:$S$8</xm:f>
          </x14:formula1>
          <xm:sqref>J9:J20 U9:U20</xm:sqref>
        </x14:dataValidation>
        <x14:dataValidation type="list" allowBlank="1" showInputMessage="1" showErrorMessage="1" xr:uid="{00000000-0002-0000-1300-000013000000}">
          <x14:formula1>
            <xm:f>Listas!$R$5:$R$8</xm:f>
          </x14:formula1>
          <xm:sqref>I9:I20 T9:T20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34"/>
  <sheetViews>
    <sheetView topLeftCell="E2" workbookViewId="0">
      <selection activeCell="S10" sqref="S10:AB11"/>
    </sheetView>
  </sheetViews>
  <sheetFormatPr baseColWidth="10" defaultColWidth="11.44140625" defaultRowHeight="14.4" x14ac:dyDescent="0.3"/>
  <cols>
    <col min="1" max="1" width="3.109375" customWidth="1"/>
    <col min="2" max="2" width="29.44140625" bestFit="1" customWidth="1"/>
    <col min="3" max="3" width="28.6640625" customWidth="1"/>
    <col min="4" max="4" width="87.33203125" customWidth="1"/>
    <col min="5" max="5" width="27.44140625" customWidth="1"/>
    <col min="6" max="6" width="24" customWidth="1"/>
    <col min="7" max="17" width="0" hidden="1" customWidth="1"/>
    <col min="27" max="27" width="17.33203125" bestFit="1" customWidth="1"/>
  </cols>
  <sheetData>
    <row r="1" spans="1:28" ht="23.4" x14ac:dyDescent="0.45">
      <c r="B1" s="632" t="s">
        <v>2531</v>
      </c>
      <c r="C1" s="633"/>
      <c r="D1" s="603"/>
      <c r="E1" s="15"/>
      <c r="F1" s="15"/>
      <c r="G1" s="15"/>
      <c r="H1" s="15"/>
      <c r="I1" s="120" t="s">
        <v>496</v>
      </c>
      <c r="J1" s="120" t="s">
        <v>497</v>
      </c>
      <c r="K1" s="120" t="s">
        <v>498</v>
      </c>
      <c r="L1" s="120" t="s">
        <v>499</v>
      </c>
      <c r="M1" s="120" t="s">
        <v>500</v>
      </c>
      <c r="N1" s="120" t="s">
        <v>2532</v>
      </c>
      <c r="O1" s="120" t="s">
        <v>501</v>
      </c>
      <c r="P1" s="120" t="s">
        <v>502</v>
      </c>
      <c r="Q1" s="120" t="s">
        <v>503</v>
      </c>
      <c r="R1" s="120" t="s">
        <v>504</v>
      </c>
      <c r="S1" s="120" t="s">
        <v>506</v>
      </c>
      <c r="T1" s="120" t="s">
        <v>507</v>
      </c>
      <c r="U1" s="120" t="s">
        <v>508</v>
      </c>
      <c r="V1" s="120" t="s">
        <v>509</v>
      </c>
      <c r="W1" s="120" t="s">
        <v>510</v>
      </c>
      <c r="X1" s="120" t="s">
        <v>511</v>
      </c>
      <c r="Y1" s="120" t="s">
        <v>2533</v>
      </c>
      <c r="Z1" s="120" t="s">
        <v>512</v>
      </c>
      <c r="AA1" s="120" t="s">
        <v>513</v>
      </c>
      <c r="AB1" s="120" t="s">
        <v>514</v>
      </c>
    </row>
    <row r="2" spans="1:28" s="15" customFormat="1" x14ac:dyDescent="0.3">
      <c r="B2" s="636" t="s">
        <v>13</v>
      </c>
      <c r="C2" s="637"/>
      <c r="D2" s="638"/>
    </row>
    <row r="3" spans="1:28" s="15" customFormat="1" x14ac:dyDescent="0.3"/>
    <row r="4" spans="1:28" s="15" customFormat="1" x14ac:dyDescent="0.3"/>
    <row r="5" spans="1:28" s="15" customFormat="1" x14ac:dyDescent="0.3"/>
    <row r="6" spans="1:28" s="15" customFormat="1" x14ac:dyDescent="0.3"/>
    <row r="7" spans="1:28" ht="15" thickBot="1" x14ac:dyDescent="0.35">
      <c r="B7" s="15"/>
      <c r="C7" s="15"/>
      <c r="D7" s="15"/>
      <c r="E7" s="15"/>
      <c r="F7" s="634" t="s">
        <v>2534</v>
      </c>
      <c r="G7" s="634"/>
      <c r="H7" s="634"/>
      <c r="I7" s="634"/>
      <c r="J7" s="634"/>
      <c r="K7" s="634"/>
      <c r="L7" s="634"/>
      <c r="M7" s="634"/>
      <c r="N7" s="634"/>
      <c r="O7" s="634"/>
      <c r="P7" s="634"/>
      <c r="Q7" s="635" t="s">
        <v>2535</v>
      </c>
      <c r="R7" s="635"/>
      <c r="S7" s="635"/>
      <c r="T7" s="635"/>
      <c r="U7" s="635"/>
      <c r="V7" s="635"/>
      <c r="W7" s="635"/>
      <c r="X7" s="635"/>
      <c r="Y7" s="635"/>
      <c r="Z7" s="635"/>
      <c r="AA7" s="635"/>
      <c r="AB7" s="444"/>
    </row>
    <row r="8" spans="1:28" x14ac:dyDescent="0.3">
      <c r="B8" s="367" t="s">
        <v>1868</v>
      </c>
      <c r="C8" s="367" t="s">
        <v>2536</v>
      </c>
      <c r="D8" s="367" t="s">
        <v>541</v>
      </c>
      <c r="E8" s="368" t="s">
        <v>544</v>
      </c>
      <c r="F8" s="368" t="s">
        <v>413</v>
      </c>
      <c r="G8" s="369" t="s">
        <v>30</v>
      </c>
      <c r="H8" s="369" t="s">
        <v>31</v>
      </c>
      <c r="I8" s="369" t="s">
        <v>32</v>
      </c>
      <c r="J8" s="369" t="s">
        <v>33</v>
      </c>
      <c r="K8" s="369" t="s">
        <v>34</v>
      </c>
      <c r="L8" s="369" t="s">
        <v>35</v>
      </c>
      <c r="M8" s="369" t="s">
        <v>36</v>
      </c>
      <c r="N8" s="369" t="s">
        <v>37</v>
      </c>
      <c r="O8" s="369" t="s">
        <v>38</v>
      </c>
      <c r="P8" s="369" t="s">
        <v>1848</v>
      </c>
      <c r="Q8" s="369" t="s">
        <v>1850</v>
      </c>
      <c r="R8" s="369" t="s">
        <v>30</v>
      </c>
      <c r="S8" s="369" t="s">
        <v>31</v>
      </c>
      <c r="T8" s="369" t="s">
        <v>32</v>
      </c>
      <c r="U8" s="369" t="s">
        <v>33</v>
      </c>
      <c r="V8" s="369" t="s">
        <v>34</v>
      </c>
      <c r="W8" s="369" t="s">
        <v>35</v>
      </c>
      <c r="X8" s="369" t="s">
        <v>36</v>
      </c>
      <c r="Y8" s="369" t="s">
        <v>37</v>
      </c>
      <c r="Z8" s="369" t="s">
        <v>38</v>
      </c>
      <c r="AA8" s="369" t="s">
        <v>1848</v>
      </c>
      <c r="AB8" s="369" t="s">
        <v>1850</v>
      </c>
    </row>
    <row r="9" spans="1:28" ht="27" customHeight="1" x14ac:dyDescent="0.3">
      <c r="A9" s="92" t="str">
        <f>+VLOOKUP(B9,responsables,8,0)</f>
        <v>sco</v>
      </c>
      <c r="B9" s="432" t="s">
        <v>122</v>
      </c>
      <c r="C9" s="432">
        <v>90</v>
      </c>
      <c r="D9" s="79" t="s">
        <v>1645</v>
      </c>
      <c r="E9" s="432" t="s">
        <v>601</v>
      </c>
      <c r="F9" s="432" t="s">
        <v>602</v>
      </c>
      <c r="G9" s="370" t="s">
        <v>90</v>
      </c>
      <c r="H9" s="371" t="s">
        <v>77</v>
      </c>
      <c r="I9" s="370" t="s">
        <v>65</v>
      </c>
      <c r="J9" s="370" t="s">
        <v>66</v>
      </c>
      <c r="K9" s="370" t="s">
        <v>67</v>
      </c>
      <c r="L9" s="370" t="s">
        <v>90</v>
      </c>
      <c r="M9" s="370" t="s">
        <v>68</v>
      </c>
      <c r="N9" s="370" t="s">
        <v>65</v>
      </c>
      <c r="O9" s="370" t="s">
        <v>69</v>
      </c>
      <c r="P9" s="370" t="s">
        <v>90</v>
      </c>
      <c r="Q9" s="370" t="s">
        <v>2560</v>
      </c>
      <c r="R9" s="370" t="s">
        <v>90</v>
      </c>
      <c r="S9" s="371" t="s">
        <v>77</v>
      </c>
      <c r="T9" s="370" t="s">
        <v>65</v>
      </c>
      <c r="U9" s="370" t="s">
        <v>66</v>
      </c>
      <c r="V9" s="370" t="s">
        <v>67</v>
      </c>
      <c r="W9" s="370" t="s">
        <v>90</v>
      </c>
      <c r="X9" s="370" t="s">
        <v>68</v>
      </c>
      <c r="Y9" s="370" t="s">
        <v>65</v>
      </c>
      <c r="Z9" s="370" t="s">
        <v>69</v>
      </c>
      <c r="AA9" s="370" t="s">
        <v>90</v>
      </c>
      <c r="AB9" s="370" t="s">
        <v>2560</v>
      </c>
    </row>
    <row r="10" spans="1:28" ht="27" customHeight="1" x14ac:dyDescent="0.3">
      <c r="B10" s="566" t="s">
        <v>195</v>
      </c>
      <c r="C10" s="432">
        <v>101</v>
      </c>
      <c r="D10" s="79" t="s">
        <v>1657</v>
      </c>
      <c r="E10" s="432" t="s">
        <v>601</v>
      </c>
      <c r="F10" s="432" t="s">
        <v>602</v>
      </c>
      <c r="G10" s="370" t="s">
        <v>63</v>
      </c>
      <c r="H10" s="371" t="s">
        <v>98</v>
      </c>
      <c r="I10" s="370" t="s">
        <v>78</v>
      </c>
      <c r="J10" s="370" t="s">
        <v>66</v>
      </c>
      <c r="K10" s="370" t="s">
        <v>67</v>
      </c>
      <c r="L10" s="370" t="s">
        <v>67</v>
      </c>
      <c r="M10" s="370" t="s">
        <v>68</v>
      </c>
      <c r="N10" s="370" t="s">
        <v>65</v>
      </c>
      <c r="O10" s="370" t="s">
        <v>69</v>
      </c>
      <c r="P10" s="385" t="s">
        <v>2578</v>
      </c>
      <c r="Q10" s="370" t="s">
        <v>2560</v>
      </c>
      <c r="R10" s="370" t="s">
        <v>63</v>
      </c>
      <c r="S10" s="371" t="s">
        <v>77</v>
      </c>
      <c r="T10" s="370" t="s">
        <v>65</v>
      </c>
      <c r="U10" s="370" t="s">
        <v>66</v>
      </c>
      <c r="V10" s="370" t="s">
        <v>67</v>
      </c>
      <c r="W10" s="370" t="s">
        <v>90</v>
      </c>
      <c r="X10" s="370" t="s">
        <v>68</v>
      </c>
      <c r="Y10" s="370" t="s">
        <v>65</v>
      </c>
      <c r="Z10" s="370" t="s">
        <v>69</v>
      </c>
      <c r="AA10" s="370" t="s">
        <v>90</v>
      </c>
      <c r="AB10" s="370" t="s">
        <v>2560</v>
      </c>
    </row>
    <row r="11" spans="1:28" ht="27" customHeight="1" x14ac:dyDescent="0.3">
      <c r="B11" s="566"/>
      <c r="C11" s="432" t="s">
        <v>382</v>
      </c>
      <c r="D11" s="79" t="s">
        <v>1668</v>
      </c>
      <c r="E11" s="432" t="s">
        <v>601</v>
      </c>
      <c r="F11" s="432" t="s">
        <v>602</v>
      </c>
      <c r="G11" s="370" t="s">
        <v>63</v>
      </c>
      <c r="H11" s="371" t="s">
        <v>110</v>
      </c>
      <c r="I11" s="370" t="s">
        <v>78</v>
      </c>
      <c r="J11" s="370" t="s">
        <v>66</v>
      </c>
      <c r="K11" s="370" t="s">
        <v>67</v>
      </c>
      <c r="L11" s="370" t="s">
        <v>67</v>
      </c>
      <c r="M11" s="370" t="s">
        <v>68</v>
      </c>
      <c r="N11" s="370" t="s">
        <v>65</v>
      </c>
      <c r="O11" s="370" t="s">
        <v>69</v>
      </c>
      <c r="P11" s="385" t="s">
        <v>2579</v>
      </c>
      <c r="Q11" s="370" t="s">
        <v>2560</v>
      </c>
      <c r="R11" s="370" t="s">
        <v>63</v>
      </c>
      <c r="S11" s="371" t="s">
        <v>77</v>
      </c>
      <c r="T11" s="370" t="s">
        <v>65</v>
      </c>
      <c r="U11" s="370" t="s">
        <v>66</v>
      </c>
      <c r="V11" s="370" t="s">
        <v>67</v>
      </c>
      <c r="W11" s="370" t="s">
        <v>90</v>
      </c>
      <c r="X11" s="370" t="s">
        <v>68</v>
      </c>
      <c r="Y11" s="370" t="s">
        <v>65</v>
      </c>
      <c r="Z11" s="370" t="s">
        <v>69</v>
      </c>
      <c r="AA11" s="370" t="s">
        <v>90</v>
      </c>
      <c r="AB11" s="370" t="s">
        <v>2560</v>
      </c>
    </row>
    <row r="12" spans="1:28" ht="27" customHeight="1" x14ac:dyDescent="0.3">
      <c r="B12" s="566" t="s">
        <v>134</v>
      </c>
      <c r="C12" s="432">
        <v>120</v>
      </c>
      <c r="D12" s="79" t="s">
        <v>1676</v>
      </c>
      <c r="E12" s="432" t="s">
        <v>661</v>
      </c>
      <c r="F12" s="432" t="s">
        <v>602</v>
      </c>
      <c r="G12" s="370" t="s">
        <v>63</v>
      </c>
      <c r="H12" s="371" t="s">
        <v>77</v>
      </c>
      <c r="I12" s="370" t="s">
        <v>65</v>
      </c>
      <c r="J12" s="370" t="s">
        <v>66</v>
      </c>
      <c r="K12" s="370" t="s">
        <v>80</v>
      </c>
      <c r="L12" s="370" t="s">
        <v>67</v>
      </c>
      <c r="M12" s="370" t="s">
        <v>90</v>
      </c>
      <c r="N12" s="370" t="s">
        <v>65</v>
      </c>
      <c r="O12" s="370" t="s">
        <v>69</v>
      </c>
      <c r="P12" s="370" t="s">
        <v>2580</v>
      </c>
      <c r="Q12" s="370" t="s">
        <v>2577</v>
      </c>
      <c r="R12" s="370" t="s">
        <v>76</v>
      </c>
      <c r="S12" s="371" t="s">
        <v>104</v>
      </c>
      <c r="T12" s="370" t="s">
        <v>78</v>
      </c>
      <c r="U12" s="370" t="s">
        <v>66</v>
      </c>
      <c r="V12" s="370" t="s">
        <v>80</v>
      </c>
      <c r="W12" s="370" t="s">
        <v>92</v>
      </c>
      <c r="X12" s="370" t="s">
        <v>90</v>
      </c>
      <c r="Y12" s="370" t="s">
        <v>78</v>
      </c>
      <c r="Z12" s="370" t="s">
        <v>69</v>
      </c>
      <c r="AA12" s="385" t="s">
        <v>2581</v>
      </c>
      <c r="AB12" s="370"/>
    </row>
    <row r="13" spans="1:28" ht="27" customHeight="1" x14ac:dyDescent="0.3">
      <c r="B13" s="566"/>
      <c r="C13" s="432" t="s">
        <v>384</v>
      </c>
      <c r="D13" s="79" t="s">
        <v>2582</v>
      </c>
      <c r="E13" s="432" t="s">
        <v>661</v>
      </c>
      <c r="F13" s="432" t="s">
        <v>602</v>
      </c>
      <c r="G13" s="370" t="s">
        <v>63</v>
      </c>
      <c r="H13" s="371" t="s">
        <v>77</v>
      </c>
      <c r="I13" s="370" t="s">
        <v>65</v>
      </c>
      <c r="J13" s="370" t="s">
        <v>66</v>
      </c>
      <c r="K13" s="370" t="s">
        <v>80</v>
      </c>
      <c r="L13" s="370" t="s">
        <v>67</v>
      </c>
      <c r="M13" s="370" t="s">
        <v>90</v>
      </c>
      <c r="N13" s="370" t="s">
        <v>65</v>
      </c>
      <c r="O13" s="370" t="s">
        <v>69</v>
      </c>
      <c r="P13" s="370" t="s">
        <v>2583</v>
      </c>
      <c r="Q13" s="370" t="s">
        <v>2577</v>
      </c>
      <c r="R13" s="370" t="s">
        <v>63</v>
      </c>
      <c r="S13" s="371" t="s">
        <v>77</v>
      </c>
      <c r="T13" s="370" t="s">
        <v>65</v>
      </c>
      <c r="U13" s="370" t="s">
        <v>66</v>
      </c>
      <c r="V13" s="370" t="s">
        <v>67</v>
      </c>
      <c r="W13" s="370" t="s">
        <v>67</v>
      </c>
      <c r="X13" s="370" t="s">
        <v>90</v>
      </c>
      <c r="Y13" s="370" t="s">
        <v>65</v>
      </c>
      <c r="Z13" s="370" t="s">
        <v>69</v>
      </c>
      <c r="AA13" s="370" t="s">
        <v>2584</v>
      </c>
      <c r="AB13" s="370"/>
    </row>
    <row r="14" spans="1:28" ht="27" customHeight="1" x14ac:dyDescent="0.3">
      <c r="B14" s="566" t="s">
        <v>117</v>
      </c>
      <c r="C14" s="432">
        <v>130</v>
      </c>
      <c r="D14" s="79" t="s">
        <v>1727</v>
      </c>
      <c r="E14" s="432" t="s">
        <v>601</v>
      </c>
      <c r="F14" s="432" t="s">
        <v>602</v>
      </c>
      <c r="G14" s="370" t="s">
        <v>63</v>
      </c>
      <c r="H14" s="371" t="s">
        <v>110</v>
      </c>
      <c r="I14" s="370" t="s">
        <v>78</v>
      </c>
      <c r="J14" s="370" t="s">
        <v>79</v>
      </c>
      <c r="K14" s="370" t="s">
        <v>80</v>
      </c>
      <c r="L14" s="370" t="s">
        <v>67</v>
      </c>
      <c r="M14" s="370" t="s">
        <v>90</v>
      </c>
      <c r="N14" s="370" t="s">
        <v>78</v>
      </c>
      <c r="O14" s="370" t="s">
        <v>69</v>
      </c>
      <c r="P14" s="370" t="s">
        <v>2585</v>
      </c>
      <c r="Q14" s="370" t="s">
        <v>2577</v>
      </c>
      <c r="R14" s="370" t="s">
        <v>63</v>
      </c>
      <c r="S14" s="371" t="s">
        <v>77</v>
      </c>
      <c r="T14" s="370" t="s">
        <v>65</v>
      </c>
      <c r="U14" s="370" t="s">
        <v>66</v>
      </c>
      <c r="V14" s="370" t="s">
        <v>67</v>
      </c>
      <c r="W14" s="370" t="s">
        <v>67</v>
      </c>
      <c r="X14" s="370" t="s">
        <v>90</v>
      </c>
      <c r="Y14" s="370" t="s">
        <v>65</v>
      </c>
      <c r="Z14" s="370" t="s">
        <v>69</v>
      </c>
      <c r="AA14" s="370" t="s">
        <v>2586</v>
      </c>
      <c r="AB14" s="370"/>
    </row>
    <row r="15" spans="1:28" ht="27" customHeight="1" x14ac:dyDescent="0.3">
      <c r="B15" s="566"/>
      <c r="C15" s="432">
        <v>126</v>
      </c>
      <c r="D15" s="79" t="s">
        <v>1697</v>
      </c>
      <c r="E15" s="432" t="s">
        <v>601</v>
      </c>
      <c r="F15" s="432" t="s">
        <v>602</v>
      </c>
      <c r="G15" s="370" t="s">
        <v>63</v>
      </c>
      <c r="H15" s="371" t="s">
        <v>77</v>
      </c>
      <c r="I15" s="370" t="s">
        <v>65</v>
      </c>
      <c r="J15" s="370" t="s">
        <v>66</v>
      </c>
      <c r="K15" s="370" t="s">
        <v>67</v>
      </c>
      <c r="L15" s="370" t="s">
        <v>67</v>
      </c>
      <c r="M15" s="370" t="s">
        <v>90</v>
      </c>
      <c r="N15" s="370" t="s">
        <v>65</v>
      </c>
      <c r="O15" s="370" t="s">
        <v>69</v>
      </c>
      <c r="P15" s="370" t="s">
        <v>2041</v>
      </c>
      <c r="Q15" s="370" t="s">
        <v>2577</v>
      </c>
      <c r="R15" s="370" t="s">
        <v>63</v>
      </c>
      <c r="S15" s="371" t="s">
        <v>77</v>
      </c>
      <c r="T15" s="370" t="s">
        <v>65</v>
      </c>
      <c r="U15" s="370" t="s">
        <v>66</v>
      </c>
      <c r="V15" s="370" t="s">
        <v>67</v>
      </c>
      <c r="W15" s="370" t="s">
        <v>67</v>
      </c>
      <c r="X15" s="370" t="s">
        <v>90</v>
      </c>
      <c r="Y15" s="370" t="s">
        <v>65</v>
      </c>
      <c r="Z15" s="370" t="s">
        <v>69</v>
      </c>
      <c r="AA15" s="370" t="s">
        <v>2041</v>
      </c>
      <c r="AB15" s="370"/>
    </row>
    <row r="16" spans="1:28" ht="27" customHeight="1" x14ac:dyDescent="0.3">
      <c r="B16" s="566"/>
      <c r="C16" s="432">
        <v>128</v>
      </c>
      <c r="D16" s="79" t="s">
        <v>1707</v>
      </c>
      <c r="E16" s="432" t="s">
        <v>601</v>
      </c>
      <c r="F16" s="432" t="s">
        <v>602</v>
      </c>
      <c r="G16" s="370" t="s">
        <v>63</v>
      </c>
      <c r="H16" s="371" t="s">
        <v>64</v>
      </c>
      <c r="I16" s="370" t="s">
        <v>65</v>
      </c>
      <c r="J16" s="370" t="s">
        <v>66</v>
      </c>
      <c r="K16" s="370" t="s">
        <v>67</v>
      </c>
      <c r="L16" s="370" t="s">
        <v>90</v>
      </c>
      <c r="M16" s="370" t="s">
        <v>90</v>
      </c>
      <c r="N16" s="370" t="s">
        <v>65</v>
      </c>
      <c r="O16" s="370" t="s">
        <v>69</v>
      </c>
      <c r="P16" s="370" t="s">
        <v>2041</v>
      </c>
      <c r="Q16" s="370" t="s">
        <v>332</v>
      </c>
      <c r="R16" s="370" t="s">
        <v>90</v>
      </c>
      <c r="S16" s="371" t="s">
        <v>91</v>
      </c>
      <c r="T16" s="370" t="s">
        <v>65</v>
      </c>
      <c r="U16" s="370" t="s">
        <v>66</v>
      </c>
      <c r="V16" s="370" t="s">
        <v>67</v>
      </c>
      <c r="W16" s="370" t="s">
        <v>67</v>
      </c>
      <c r="X16" s="370" t="s">
        <v>90</v>
      </c>
      <c r="Y16" s="370" t="s">
        <v>65</v>
      </c>
      <c r="Z16" s="370" t="s">
        <v>69</v>
      </c>
      <c r="AA16" s="370" t="s">
        <v>2587</v>
      </c>
      <c r="AB16" s="370" t="s">
        <v>332</v>
      </c>
    </row>
    <row r="17" spans="2:28" ht="27" customHeight="1" x14ac:dyDescent="0.3">
      <c r="B17" s="566"/>
      <c r="C17" s="432">
        <v>129</v>
      </c>
      <c r="D17" s="79" t="s">
        <v>1717</v>
      </c>
      <c r="E17" s="432" t="s">
        <v>601</v>
      </c>
      <c r="F17" s="432" t="s">
        <v>602</v>
      </c>
      <c r="G17" s="370" t="s">
        <v>63</v>
      </c>
      <c r="H17" s="371" t="s">
        <v>64</v>
      </c>
      <c r="I17" s="370" t="s">
        <v>65</v>
      </c>
      <c r="J17" s="370" t="s">
        <v>66</v>
      </c>
      <c r="K17" s="370" t="s">
        <v>67</v>
      </c>
      <c r="L17" s="370" t="s">
        <v>90</v>
      </c>
      <c r="M17" s="370" t="s">
        <v>90</v>
      </c>
      <c r="N17" s="370" t="s">
        <v>65</v>
      </c>
      <c r="O17" s="370" t="s">
        <v>69</v>
      </c>
      <c r="P17" s="370" t="s">
        <v>2041</v>
      </c>
      <c r="Q17" s="370" t="s">
        <v>332</v>
      </c>
      <c r="R17" s="370" t="s">
        <v>90</v>
      </c>
      <c r="S17" s="371" t="s">
        <v>77</v>
      </c>
      <c r="T17" s="370" t="s">
        <v>65</v>
      </c>
      <c r="U17" s="370" t="s">
        <v>66</v>
      </c>
      <c r="V17" s="370" t="s">
        <v>67</v>
      </c>
      <c r="W17" s="370" t="s">
        <v>90</v>
      </c>
      <c r="X17" s="370" t="s">
        <v>90</v>
      </c>
      <c r="Y17" s="370" t="s">
        <v>65</v>
      </c>
      <c r="Z17" s="370" t="s">
        <v>69</v>
      </c>
      <c r="AA17" s="370" t="s">
        <v>2588</v>
      </c>
      <c r="AB17" s="370" t="s">
        <v>332</v>
      </c>
    </row>
    <row r="18" spans="2:28" ht="27" hidden="1" customHeight="1" x14ac:dyDescent="0.3">
      <c r="B18" s="566" t="s">
        <v>191</v>
      </c>
      <c r="C18" s="432" t="s">
        <v>387</v>
      </c>
      <c r="D18" s="79" t="s">
        <v>1738</v>
      </c>
      <c r="E18" s="432" t="s">
        <v>638</v>
      </c>
      <c r="F18" s="432" t="s">
        <v>639</v>
      </c>
      <c r="G18" s="370"/>
      <c r="H18" s="371"/>
      <c r="I18" s="370"/>
      <c r="J18" s="370"/>
      <c r="K18" s="370"/>
      <c r="L18" s="370"/>
      <c r="M18" s="370"/>
      <c r="N18" s="370"/>
      <c r="O18" s="370"/>
      <c r="P18" s="370"/>
      <c r="Q18" s="370"/>
      <c r="R18" s="370"/>
      <c r="S18" s="371"/>
      <c r="T18" s="370"/>
      <c r="U18" s="370"/>
      <c r="V18" s="370"/>
      <c r="W18" s="370"/>
      <c r="X18" s="370"/>
      <c r="Y18" s="370"/>
      <c r="Z18" s="370"/>
      <c r="AA18" s="370"/>
      <c r="AB18" s="370"/>
    </row>
    <row r="19" spans="2:28" ht="27" customHeight="1" x14ac:dyDescent="0.3">
      <c r="B19" s="566"/>
      <c r="C19" s="432">
        <v>122</v>
      </c>
      <c r="D19" s="79" t="s">
        <v>1747</v>
      </c>
      <c r="E19" s="432" t="s">
        <v>638</v>
      </c>
      <c r="F19" s="432" t="s">
        <v>639</v>
      </c>
      <c r="G19" s="370" t="s">
        <v>63</v>
      </c>
      <c r="H19" s="371" t="s">
        <v>77</v>
      </c>
      <c r="I19" s="370" t="s">
        <v>65</v>
      </c>
      <c r="J19" s="370" t="s">
        <v>66</v>
      </c>
      <c r="K19" s="370" t="s">
        <v>67</v>
      </c>
      <c r="L19" s="370" t="s">
        <v>67</v>
      </c>
      <c r="M19" s="370" t="s">
        <v>68</v>
      </c>
      <c r="N19" s="370" t="s">
        <v>65</v>
      </c>
      <c r="O19" s="370" t="s">
        <v>69</v>
      </c>
      <c r="P19" s="370" t="s">
        <v>2589</v>
      </c>
      <c r="Q19" s="370" t="s">
        <v>1945</v>
      </c>
      <c r="R19" s="370" t="s">
        <v>90</v>
      </c>
      <c r="S19" s="371" t="s">
        <v>116</v>
      </c>
      <c r="T19" s="370" t="s">
        <v>90</v>
      </c>
      <c r="U19" s="370" t="s">
        <v>90</v>
      </c>
      <c r="V19" s="370" t="s">
        <v>90</v>
      </c>
      <c r="W19" s="370" t="s">
        <v>90</v>
      </c>
      <c r="X19" s="370" t="s">
        <v>90</v>
      </c>
      <c r="Y19" s="370" t="s">
        <v>90</v>
      </c>
      <c r="Z19" s="370" t="s">
        <v>69</v>
      </c>
      <c r="AA19" s="370" t="s">
        <v>2041</v>
      </c>
      <c r="AB19" s="370" t="s">
        <v>1945</v>
      </c>
    </row>
    <row r="20" spans="2:28" ht="27" customHeight="1" x14ac:dyDescent="0.3">
      <c r="B20" s="566"/>
      <c r="C20" s="432">
        <v>124</v>
      </c>
      <c r="D20" s="79" t="s">
        <v>1756</v>
      </c>
      <c r="E20" s="432" t="s">
        <v>1761</v>
      </c>
      <c r="F20" s="432" t="s">
        <v>639</v>
      </c>
      <c r="G20" s="370" t="s">
        <v>63</v>
      </c>
      <c r="H20" s="371" t="s">
        <v>77</v>
      </c>
      <c r="I20" s="370" t="s">
        <v>65</v>
      </c>
      <c r="J20" s="370" t="s">
        <v>66</v>
      </c>
      <c r="K20" s="370" t="s">
        <v>67</v>
      </c>
      <c r="L20" s="370" t="s">
        <v>67</v>
      </c>
      <c r="M20" s="370" t="s">
        <v>68</v>
      </c>
      <c r="N20" s="370" t="s">
        <v>65</v>
      </c>
      <c r="O20" s="370" t="s">
        <v>69</v>
      </c>
      <c r="P20" s="370" t="s">
        <v>2589</v>
      </c>
      <c r="Q20" s="370" t="s">
        <v>1945</v>
      </c>
      <c r="R20" s="370" t="s">
        <v>63</v>
      </c>
      <c r="S20" s="371" t="s">
        <v>77</v>
      </c>
      <c r="T20" s="370" t="s">
        <v>65</v>
      </c>
      <c r="U20" s="370" t="s">
        <v>66</v>
      </c>
      <c r="V20" s="370" t="s">
        <v>67</v>
      </c>
      <c r="W20" s="370" t="s">
        <v>67</v>
      </c>
      <c r="X20" s="370" t="s">
        <v>68</v>
      </c>
      <c r="Y20" s="370" t="s">
        <v>65</v>
      </c>
      <c r="Z20" s="370" t="s">
        <v>69</v>
      </c>
      <c r="AA20" s="370" t="s">
        <v>2589</v>
      </c>
      <c r="AB20" s="370" t="s">
        <v>1945</v>
      </c>
    </row>
    <row r="21" spans="2:28" ht="27" customHeight="1" x14ac:dyDescent="0.3">
      <c r="B21" s="566"/>
      <c r="C21" s="432">
        <v>125</v>
      </c>
      <c r="D21" s="79" t="s">
        <v>1767</v>
      </c>
      <c r="E21" s="432" t="s">
        <v>638</v>
      </c>
      <c r="F21" s="432" t="s">
        <v>639</v>
      </c>
      <c r="G21" s="370" t="s">
        <v>63</v>
      </c>
      <c r="H21" s="371" t="s">
        <v>77</v>
      </c>
      <c r="I21" s="370" t="s">
        <v>78</v>
      </c>
      <c r="J21" s="370" t="s">
        <v>66</v>
      </c>
      <c r="K21" s="370" t="s">
        <v>67</v>
      </c>
      <c r="L21" s="370" t="s">
        <v>67</v>
      </c>
      <c r="M21" s="370" t="s">
        <v>68</v>
      </c>
      <c r="N21" s="370" t="s">
        <v>65</v>
      </c>
      <c r="O21" s="370" t="s">
        <v>69</v>
      </c>
      <c r="P21" s="370" t="s">
        <v>2590</v>
      </c>
      <c r="Q21" s="370" t="s">
        <v>1945</v>
      </c>
      <c r="R21" s="370" t="s">
        <v>63</v>
      </c>
      <c r="S21" s="371" t="s">
        <v>77</v>
      </c>
      <c r="T21" s="370" t="s">
        <v>65</v>
      </c>
      <c r="U21" s="370" t="s">
        <v>66</v>
      </c>
      <c r="V21" s="370" t="s">
        <v>67</v>
      </c>
      <c r="W21" s="370" t="s">
        <v>67</v>
      </c>
      <c r="X21" s="370" t="s">
        <v>68</v>
      </c>
      <c r="Y21" s="370" t="s">
        <v>65</v>
      </c>
      <c r="Z21" s="370" t="s">
        <v>69</v>
      </c>
      <c r="AA21" s="370" t="s">
        <v>2589</v>
      </c>
      <c r="AB21" s="370" t="s">
        <v>1945</v>
      </c>
    </row>
    <row r="22" spans="2:28" ht="27" customHeight="1" x14ac:dyDescent="0.3">
      <c r="B22" s="566"/>
      <c r="C22" s="432" t="s">
        <v>389</v>
      </c>
      <c r="D22" s="79" t="s">
        <v>1776</v>
      </c>
      <c r="E22" s="432" t="s">
        <v>638</v>
      </c>
      <c r="F22" s="432" t="s">
        <v>639</v>
      </c>
      <c r="G22" s="370" t="s">
        <v>63</v>
      </c>
      <c r="H22" s="371" t="s">
        <v>77</v>
      </c>
      <c r="I22" s="370" t="s">
        <v>65</v>
      </c>
      <c r="J22" s="370" t="s">
        <v>66</v>
      </c>
      <c r="K22" s="370" t="s">
        <v>67</v>
      </c>
      <c r="L22" s="370" t="s">
        <v>67</v>
      </c>
      <c r="M22" s="370" t="s">
        <v>68</v>
      </c>
      <c r="N22" s="370" t="s">
        <v>65</v>
      </c>
      <c r="O22" s="370" t="s">
        <v>69</v>
      </c>
      <c r="P22" s="370" t="s">
        <v>2589</v>
      </c>
      <c r="Q22" s="370" t="s">
        <v>1945</v>
      </c>
      <c r="R22" s="370" t="s">
        <v>90</v>
      </c>
      <c r="S22" s="371" t="s">
        <v>116</v>
      </c>
      <c r="T22" s="370" t="s">
        <v>90</v>
      </c>
      <c r="U22" s="370" t="s">
        <v>90</v>
      </c>
      <c r="V22" s="370" t="s">
        <v>90</v>
      </c>
      <c r="W22" s="370" t="s">
        <v>90</v>
      </c>
      <c r="X22" s="370" t="s">
        <v>90</v>
      </c>
      <c r="Y22" s="370" t="s">
        <v>90</v>
      </c>
      <c r="Z22" s="370" t="s">
        <v>69</v>
      </c>
      <c r="AA22" s="370" t="s">
        <v>2041</v>
      </c>
      <c r="AB22" s="370" t="s">
        <v>1945</v>
      </c>
    </row>
    <row r="23" spans="2:28" x14ac:dyDescent="0.3">
      <c r="B23" s="380"/>
    </row>
    <row r="24" spans="2:28" ht="15" thickBot="1" x14ac:dyDescent="0.35">
      <c r="R24" s="375" t="s">
        <v>30</v>
      </c>
      <c r="S24" s="375" t="s">
        <v>31</v>
      </c>
      <c r="T24" s="375" t="s">
        <v>32</v>
      </c>
      <c r="U24" s="375" t="s">
        <v>33</v>
      </c>
      <c r="V24" s="375" t="s">
        <v>34</v>
      </c>
      <c r="W24" s="375" t="s">
        <v>35</v>
      </c>
      <c r="X24" s="375" t="s">
        <v>36</v>
      </c>
      <c r="Y24" s="375" t="s">
        <v>37</v>
      </c>
      <c r="Z24" s="375" t="s">
        <v>38</v>
      </c>
    </row>
    <row r="25" spans="2:28" x14ac:dyDescent="0.3">
      <c r="B25" s="372" t="s">
        <v>2546</v>
      </c>
      <c r="C25" s="373" t="s">
        <v>2547</v>
      </c>
      <c r="D25" s="374" t="s">
        <v>2548</v>
      </c>
    </row>
    <row r="26" spans="2:28" x14ac:dyDescent="0.3">
      <c r="B26" s="375" t="s">
        <v>30</v>
      </c>
      <c r="C26" t="s">
        <v>1839</v>
      </c>
      <c r="D26" s="376" t="s">
        <v>2549</v>
      </c>
      <c r="E26" s="375" t="s">
        <v>30</v>
      </c>
    </row>
    <row r="27" spans="2:28" x14ac:dyDescent="0.3">
      <c r="B27" s="375" t="s">
        <v>31</v>
      </c>
      <c r="C27" t="s">
        <v>1840</v>
      </c>
      <c r="D27" s="376" t="s">
        <v>2550</v>
      </c>
      <c r="E27" s="375" t="s">
        <v>31</v>
      </c>
    </row>
    <row r="28" spans="2:28" x14ac:dyDescent="0.3">
      <c r="B28" s="375" t="s">
        <v>32</v>
      </c>
      <c r="C28" t="s">
        <v>1841</v>
      </c>
      <c r="D28" s="376" t="s">
        <v>2551</v>
      </c>
      <c r="E28" s="375" t="s">
        <v>32</v>
      </c>
    </row>
    <row r="29" spans="2:28" x14ac:dyDescent="0.3">
      <c r="B29" s="375" t="s">
        <v>33</v>
      </c>
      <c r="C29" t="s">
        <v>1842</v>
      </c>
      <c r="D29" s="376" t="s">
        <v>2552</v>
      </c>
      <c r="E29" s="375" t="s">
        <v>33</v>
      </c>
    </row>
    <row r="30" spans="2:28" x14ac:dyDescent="0.3">
      <c r="B30" s="375" t="s">
        <v>34</v>
      </c>
      <c r="C30" t="s">
        <v>1843</v>
      </c>
      <c r="D30" s="376" t="s">
        <v>2553</v>
      </c>
      <c r="E30" s="375" t="s">
        <v>34</v>
      </c>
    </row>
    <row r="31" spans="2:28" x14ac:dyDescent="0.3">
      <c r="B31" s="375" t="s">
        <v>35</v>
      </c>
      <c r="C31" t="s">
        <v>1844</v>
      </c>
      <c r="D31" s="376" t="s">
        <v>2554</v>
      </c>
      <c r="E31" s="375" t="s">
        <v>35</v>
      </c>
    </row>
    <row r="32" spans="2:28" x14ac:dyDescent="0.3">
      <c r="B32" s="375" t="s">
        <v>36</v>
      </c>
      <c r="C32" s="300" t="s">
        <v>1845</v>
      </c>
      <c r="D32" s="376"/>
      <c r="E32" s="375" t="s">
        <v>36</v>
      </c>
    </row>
    <row r="33" spans="2:5" x14ac:dyDescent="0.3">
      <c r="B33" s="375" t="s">
        <v>37</v>
      </c>
      <c r="C33" t="s">
        <v>1846</v>
      </c>
      <c r="D33" s="376" t="s">
        <v>2555</v>
      </c>
      <c r="E33" s="375" t="s">
        <v>37</v>
      </c>
    </row>
    <row r="34" spans="2:5" ht="15" thickBot="1" x14ac:dyDescent="0.35">
      <c r="B34" s="375" t="s">
        <v>38</v>
      </c>
      <c r="C34" s="378" t="s">
        <v>1847</v>
      </c>
      <c r="D34" s="379" t="s">
        <v>2556</v>
      </c>
      <c r="E34" s="375" t="s">
        <v>38</v>
      </c>
    </row>
  </sheetData>
  <protectedRanges>
    <protectedRange algorithmName="SHA-512" hashValue="h8lfHTpgu9sjZ5FD0TFTRW4XK4YjJlAc8LZdVTUDTQhNn0cZfXCRaOK5xKDI8TeiI4TEpREutu47LsJax8qmVQ==" saltValue="45vNl5eoNL6jcuPRFWVeJA==" spinCount="100000" sqref="P9:Q22 AA9:AB11" name="Trimestre1_2"/>
    <protectedRange algorithmName="SHA-512" hashValue="/FuuMS3bGaCiHkeKhejoTbuKloDettmow+jAdK04mlTRCr306syv/mgc7i7KY9N3bEb4zcozKro3ZWG7j4F+bQ==" saltValue="5/e4EmDDqTu6D06OfqgyAg==" spinCount="100000" sqref="AA12:AB18 AB19 AA20:AB21 AB22" name="Trimestre2_2"/>
    <protectedRange algorithmName="SHA-512" hashValue="h8lfHTpgu9sjZ5FD0TFTRW4XK4YjJlAc8LZdVTUDTQhNn0cZfXCRaOK5xKDI8TeiI4TEpREutu47LsJax8qmVQ==" saltValue="45vNl5eoNL6jcuPRFWVeJA==" spinCount="100000" sqref="G9:O22 R9:Z9 S10:Z11" name="Trimestre1_2_4"/>
    <protectedRange algorithmName="SHA-512" hashValue="h8lfHTpgu9sjZ5FD0TFTRW4XK4YjJlAc8LZdVTUDTQhNn0cZfXCRaOK5xKDI8TeiI4TEpREutu47LsJax8qmVQ==" saltValue="45vNl5eoNL6jcuPRFWVeJA==" spinCount="100000" sqref="R12:Z18 X19 R20:Z21 X22 R10:R11" name="Trimestre1_2_4_1"/>
    <protectedRange algorithmName="SHA-512" hashValue="h8lfHTpgu9sjZ5FD0TFTRW4XK4YjJlAc8LZdVTUDTQhNn0cZfXCRaOK5xKDI8TeiI4TEpREutu47LsJax8qmVQ==" saltValue="45vNl5eoNL6jcuPRFWVeJA==" spinCount="100000" sqref="AA19 AA22" name="Trimestre1_2_1"/>
    <protectedRange algorithmName="SHA-512" hashValue="h8lfHTpgu9sjZ5FD0TFTRW4XK4YjJlAc8LZdVTUDTQhNn0cZfXCRaOK5xKDI8TeiI4TEpREutu47LsJax8qmVQ==" saltValue="45vNl5eoNL6jcuPRFWVeJA==" spinCount="100000" sqref="R19:W19 Y19:Z19 R22:W22 Y22:Z22" name="Trimestre1_2_4_1_1"/>
  </protectedRanges>
  <mergeCells count="8">
    <mergeCell ref="B18:B22"/>
    <mergeCell ref="B2:D2"/>
    <mergeCell ref="B1:D1"/>
    <mergeCell ref="F7:P7"/>
    <mergeCell ref="Q7:AA7"/>
    <mergeCell ref="B10:B11"/>
    <mergeCell ref="B12:B13"/>
    <mergeCell ref="B14:B17"/>
  </mergeCells>
  <dataValidations count="10">
    <dataValidation type="list" allowBlank="1" showInputMessage="1" showErrorMessage="1" prompt="Corresponde a los ID de los indicadores del Proyecto de Inversión" sqref="C10:C11" xr:uid="{00000000-0002-0000-1400-000000000000}">
      <formula1>INDIRECT($A$16)</formula1>
    </dataValidation>
    <dataValidation type="list" allowBlank="1" showInputMessage="1" showErrorMessage="1" prompt="Corresponde a los ID de los indicadores del Proyecto de Inversión" sqref="C12:C13" xr:uid="{00000000-0002-0000-1400-000001000000}">
      <formula1>INDIRECT($A$18)</formula1>
    </dataValidation>
    <dataValidation type="list" allowBlank="1" showInputMessage="1" showErrorMessage="1" prompt="Corresponde a los ID de los indicadores del Proyecto de Inversión" sqref="C14:C17" xr:uid="{00000000-0002-0000-1400-000002000000}">
      <formula1>INDIRECT($A$20)</formula1>
    </dataValidation>
    <dataValidation allowBlank="1" showInputMessage="1" showErrorMessage="1" prompt="Corresponde a la tendencia anual del indicador" sqref="E9:E22" xr:uid="{00000000-0002-0000-1400-000003000000}"/>
    <dataValidation allowBlank="1" showInputMessage="1" showErrorMessage="1" prompt="Corresponde a la unidad de medida del indicador" sqref="F9:F22" xr:uid="{00000000-0002-0000-1400-000004000000}"/>
    <dataValidation allowBlank="1" showInputMessage="1" showErrorMessage="1" prompt="Corresponde a los nombres de los indicadores del Proyecto de Inversión" sqref="D9:D22" xr:uid="{00000000-0002-0000-1400-000005000000}"/>
    <dataValidation type="textLength" operator="lessThanOrEqual" allowBlank="1" showInputMessage="1" showErrorMessage="1" sqref="AA20:AA21 AA12:AA18" xr:uid="{00000000-0002-0000-1400-000006000000}">
      <formula1>1000</formula1>
    </dataValidation>
    <dataValidation type="textLength" allowBlank="1" showInputMessage="1" showErrorMessage="1" sqref="Q9:Q22 AB9:AB22" xr:uid="{00000000-0002-0000-1400-000007000000}">
      <formula1>2</formula1>
      <formula2>50</formula2>
    </dataValidation>
    <dataValidation type="list" allowBlank="1" showInputMessage="1" showErrorMessage="1" prompt="Corresponde a los ID de los indicadores del Proyecto de Inversión" sqref="C18:C22" xr:uid="{00000000-0002-0000-1400-000008000000}">
      <formula1>INDIRECT($A$24)</formula1>
    </dataValidation>
    <dataValidation type="list" allowBlank="1" showInputMessage="1" showErrorMessage="1" prompt="Corresponde a los ID de los indicadores del Proyecto de Inversión" sqref="C9" xr:uid="{00000000-0002-0000-1400-000009000000}">
      <formula1>INDIRECT($A$15)</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A000000}">
          <x14:formula1>
            <xm:f>Listas!$P$5:$P$7</xm:f>
          </x14:formula1>
          <xm:sqref>G9:G22 R9:R22</xm:sqref>
        </x14:dataValidation>
        <x14:dataValidation type="list" allowBlank="1" showInputMessage="1" showErrorMessage="1" xr:uid="{00000000-0002-0000-1400-00000B000000}">
          <x14:formula1>
            <xm:f>Listas!$R$5:$R$8</xm:f>
          </x14:formula1>
          <xm:sqref>I9:I22 T9:T22</xm:sqref>
        </x14:dataValidation>
        <x14:dataValidation type="list" allowBlank="1" showInputMessage="1" showErrorMessage="1" xr:uid="{00000000-0002-0000-1400-00000C000000}">
          <x14:formula1>
            <xm:f>Listas!$S$5:$S$8</xm:f>
          </x14:formula1>
          <xm:sqref>J9:J22 U9:U22</xm:sqref>
        </x14:dataValidation>
        <x14:dataValidation type="list" allowBlank="1" showInputMessage="1" showErrorMessage="1" xr:uid="{00000000-0002-0000-1400-00000D000000}">
          <x14:formula1>
            <xm:f>Listas!$T$5:$T$8</xm:f>
          </x14:formula1>
          <xm:sqref>K9:K22 V9:V22</xm:sqref>
        </x14:dataValidation>
        <x14:dataValidation type="list" allowBlank="1" showInputMessage="1" showErrorMessage="1" xr:uid="{00000000-0002-0000-1400-00000E000000}">
          <x14:formula1>
            <xm:f>Listas!$U$5:$U$8</xm:f>
          </x14:formula1>
          <xm:sqref>L9:L22 W9:W22</xm:sqref>
        </x14:dataValidation>
        <x14:dataValidation type="list" allowBlank="1" showInputMessage="1" showErrorMessage="1" xr:uid="{00000000-0002-0000-1400-00000F000000}">
          <x14:formula1>
            <xm:f>Listas!$V$5:$V$8</xm:f>
          </x14:formula1>
          <xm:sqref>M9:M22 X9:X22</xm:sqref>
        </x14:dataValidation>
        <x14:dataValidation type="list" allowBlank="1" showInputMessage="1" showErrorMessage="1" xr:uid="{00000000-0002-0000-1400-000010000000}">
          <x14:formula1>
            <xm:f>Listas!$W$5:$W$8</xm:f>
          </x14:formula1>
          <xm:sqref>N9:N22 Y9:Y22</xm:sqref>
        </x14:dataValidation>
        <x14:dataValidation type="list" allowBlank="1" showInputMessage="1" showErrorMessage="1" xr:uid="{00000000-0002-0000-1400-000011000000}">
          <x14:formula1>
            <xm:f>Listas!$X$5:$X$6</xm:f>
          </x14:formula1>
          <xm:sqref>O9:O22 Z9:Z22</xm:sqref>
        </x14:dataValidation>
        <x14:dataValidation type="list" allowBlank="1" showInputMessage="1" showErrorMessage="1" xr:uid="{00000000-0002-0000-1400-000012000000}">
          <x14:formula1>
            <xm:f>Listas!$Q$5:$Q$11</xm:f>
          </x14:formula1>
          <xm:sqref>H9:H22 S9:S22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2:X171"/>
  <sheetViews>
    <sheetView topLeftCell="A32" zoomScale="70" zoomScaleNormal="70" workbookViewId="0">
      <selection activeCell="E37" sqref="E37:E62"/>
    </sheetView>
  </sheetViews>
  <sheetFormatPr baseColWidth="10" defaultColWidth="11.44140625" defaultRowHeight="14.4" x14ac:dyDescent="0.3"/>
  <cols>
    <col min="1" max="1" width="78.44140625" bestFit="1" customWidth="1"/>
    <col min="2" max="2" width="21.109375" customWidth="1"/>
    <col min="3" max="3" width="33.88671875" customWidth="1"/>
    <col min="4" max="4" width="36" customWidth="1"/>
    <col min="5" max="6" width="30" customWidth="1"/>
    <col min="7" max="7" width="31.6640625" bestFit="1" customWidth="1"/>
    <col min="8" max="8" width="8.6640625" bestFit="1" customWidth="1"/>
    <col min="9" max="9" width="29.5546875" customWidth="1"/>
    <col min="10" max="11" width="18.33203125" customWidth="1"/>
    <col min="12" max="12" width="27.33203125" customWidth="1"/>
  </cols>
  <sheetData>
    <row r="2" spans="1:24" x14ac:dyDescent="0.3">
      <c r="A2" t="s">
        <v>16</v>
      </c>
      <c r="P2" s="469" t="s">
        <v>17</v>
      </c>
      <c r="Q2" s="469"/>
      <c r="R2" s="469"/>
      <c r="S2" s="469"/>
      <c r="T2" s="469"/>
      <c r="U2" s="469"/>
      <c r="V2" s="469"/>
      <c r="W2" s="469"/>
      <c r="X2" s="469"/>
    </row>
    <row r="3" spans="1:24" ht="15.6" customHeight="1" x14ac:dyDescent="0.3">
      <c r="A3" s="17" t="s">
        <v>18</v>
      </c>
      <c r="B3" s="17" t="s">
        <v>19</v>
      </c>
      <c r="C3" s="17" t="s">
        <v>20</v>
      </c>
      <c r="D3" s="17" t="s">
        <v>21</v>
      </c>
      <c r="E3" s="17" t="s">
        <v>22</v>
      </c>
      <c r="F3" s="17" t="s">
        <v>23</v>
      </c>
      <c r="G3" s="17" t="s">
        <v>24</v>
      </c>
      <c r="H3" s="17" t="s">
        <v>25</v>
      </c>
      <c r="I3" s="17" t="s">
        <v>26</v>
      </c>
      <c r="J3" s="17" t="s">
        <v>27</v>
      </c>
      <c r="K3" s="17" t="s">
        <v>28</v>
      </c>
      <c r="L3" s="17" t="s">
        <v>29</v>
      </c>
      <c r="P3" s="381" t="s">
        <v>30</v>
      </c>
      <c r="Q3" s="381" t="s">
        <v>31</v>
      </c>
      <c r="R3" s="381" t="s">
        <v>32</v>
      </c>
      <c r="S3" s="381" t="s">
        <v>33</v>
      </c>
      <c r="T3" s="381" t="s">
        <v>34</v>
      </c>
      <c r="U3" s="381" t="s">
        <v>35</v>
      </c>
      <c r="V3" s="381" t="s">
        <v>36</v>
      </c>
      <c r="W3" s="381" t="s">
        <v>37</v>
      </c>
      <c r="X3" s="381" t="s">
        <v>38</v>
      </c>
    </row>
    <row r="4" spans="1:24" x14ac:dyDescent="0.3">
      <c r="A4" t="s">
        <v>39</v>
      </c>
      <c r="B4" t="s">
        <v>40</v>
      </c>
      <c r="C4" t="s">
        <v>41</v>
      </c>
      <c r="D4" s="134" t="s">
        <v>42</v>
      </c>
      <c r="E4" t="s">
        <v>43</v>
      </c>
      <c r="F4" t="str">
        <f>+C4</f>
        <v>Oscar Javier Asprilla Cruz</v>
      </c>
      <c r="G4" s="18" t="s">
        <v>44</v>
      </c>
      <c r="H4" t="s">
        <v>45</v>
      </c>
      <c r="I4" t="s">
        <v>46</v>
      </c>
      <c r="P4" s="381" t="s">
        <v>47</v>
      </c>
      <c r="Q4" s="381" t="s">
        <v>48</v>
      </c>
      <c r="R4" s="381" t="s">
        <v>49</v>
      </c>
      <c r="S4" s="381" t="s">
        <v>50</v>
      </c>
      <c r="T4" s="381" t="s">
        <v>51</v>
      </c>
      <c r="U4" s="381" t="s">
        <v>52</v>
      </c>
      <c r="V4" s="381" t="s">
        <v>53</v>
      </c>
      <c r="W4" s="381" t="s">
        <v>54</v>
      </c>
      <c r="X4" s="381" t="s">
        <v>55</v>
      </c>
    </row>
    <row r="5" spans="1:24" x14ac:dyDescent="0.3">
      <c r="A5" t="s">
        <v>56</v>
      </c>
      <c r="B5" t="s">
        <v>57</v>
      </c>
      <c r="C5" t="s">
        <v>58</v>
      </c>
      <c r="D5" s="134" t="s">
        <v>42</v>
      </c>
      <c r="E5" t="s">
        <v>59</v>
      </c>
      <c r="F5" t="str">
        <f>+C5</f>
        <v>Luz Amparo Medina Gerena</v>
      </c>
      <c r="G5" s="18" t="s">
        <v>60</v>
      </c>
      <c r="H5" t="s">
        <v>61</v>
      </c>
      <c r="I5" t="s">
        <v>62</v>
      </c>
      <c r="P5" t="s">
        <v>63</v>
      </c>
      <c r="Q5" t="s">
        <v>64</v>
      </c>
      <c r="R5" t="s">
        <v>65</v>
      </c>
      <c r="S5" t="s">
        <v>66</v>
      </c>
      <c r="T5" t="s">
        <v>67</v>
      </c>
      <c r="U5" t="s">
        <v>67</v>
      </c>
      <c r="V5" t="s">
        <v>68</v>
      </c>
      <c r="W5" t="s">
        <v>65</v>
      </c>
      <c r="X5" t="s">
        <v>69</v>
      </c>
    </row>
    <row r="6" spans="1:24" x14ac:dyDescent="0.3">
      <c r="A6" t="s">
        <v>70</v>
      </c>
      <c r="B6" t="s">
        <v>71</v>
      </c>
      <c r="C6" t="s">
        <v>72</v>
      </c>
      <c r="D6" s="134" t="s">
        <v>42</v>
      </c>
      <c r="E6" t="s">
        <v>73</v>
      </c>
      <c r="F6" t="str">
        <f>+C6</f>
        <v>Felipe Guzman Ramirez</v>
      </c>
      <c r="G6" s="18" t="s">
        <v>74</v>
      </c>
      <c r="H6" t="s">
        <v>75</v>
      </c>
      <c r="I6" t="s">
        <v>46</v>
      </c>
      <c r="P6" t="s">
        <v>76</v>
      </c>
      <c r="Q6" t="s">
        <v>77</v>
      </c>
      <c r="R6" t="s">
        <v>78</v>
      </c>
      <c r="S6" t="s">
        <v>79</v>
      </c>
      <c r="T6" t="s">
        <v>80</v>
      </c>
      <c r="U6" t="s">
        <v>80</v>
      </c>
      <c r="V6" t="s">
        <v>81</v>
      </c>
      <c r="W6" t="s">
        <v>78</v>
      </c>
      <c r="X6" t="s">
        <v>82</v>
      </c>
    </row>
    <row r="7" spans="1:24" x14ac:dyDescent="0.3">
      <c r="A7" t="s">
        <v>83</v>
      </c>
      <c r="B7" t="s">
        <v>84</v>
      </c>
      <c r="C7" t="s">
        <v>85</v>
      </c>
      <c r="D7" s="134" t="s">
        <v>42</v>
      </c>
      <c r="E7" t="s">
        <v>86</v>
      </c>
      <c r="F7" t="str">
        <f>+C7</f>
        <v>Gloria Patricia Rincón Mazo</v>
      </c>
      <c r="G7" s="18" t="s">
        <v>87</v>
      </c>
      <c r="H7" t="s">
        <v>88</v>
      </c>
      <c r="I7" t="s">
        <v>89</v>
      </c>
      <c r="P7" t="s">
        <v>90</v>
      </c>
      <c r="Q7" t="s">
        <v>91</v>
      </c>
      <c r="R7" t="s">
        <v>92</v>
      </c>
      <c r="S7" t="s">
        <v>92</v>
      </c>
      <c r="T7" t="s">
        <v>92</v>
      </c>
      <c r="U7" t="s">
        <v>92</v>
      </c>
      <c r="V7" t="s">
        <v>92</v>
      </c>
      <c r="W7" t="s">
        <v>92</v>
      </c>
    </row>
    <row r="8" spans="1:24" x14ac:dyDescent="0.3">
      <c r="A8" t="s">
        <v>93</v>
      </c>
      <c r="B8" t="s">
        <v>94</v>
      </c>
      <c r="C8" t="s">
        <v>95</v>
      </c>
      <c r="D8" s="134" t="s">
        <v>42</v>
      </c>
      <c r="E8" t="s">
        <v>86</v>
      </c>
      <c r="F8" t="str">
        <f t="shared" ref="F8:F13" si="0">+C8</f>
        <v>Alvaro Arias Cruz</v>
      </c>
      <c r="G8" s="18" t="s">
        <v>96</v>
      </c>
      <c r="H8" t="s">
        <v>97</v>
      </c>
      <c r="I8" t="s">
        <v>89</v>
      </c>
      <c r="Q8" t="s">
        <v>98</v>
      </c>
      <c r="R8" t="s">
        <v>90</v>
      </c>
      <c r="S8" t="s">
        <v>90</v>
      </c>
      <c r="T8" t="s">
        <v>90</v>
      </c>
      <c r="U8" t="s">
        <v>90</v>
      </c>
      <c r="V8" t="s">
        <v>90</v>
      </c>
      <c r="W8" t="s">
        <v>90</v>
      </c>
    </row>
    <row r="9" spans="1:24" x14ac:dyDescent="0.3">
      <c r="A9" t="s">
        <v>99</v>
      </c>
      <c r="B9" t="s">
        <v>100</v>
      </c>
      <c r="C9" t="s">
        <v>101</v>
      </c>
      <c r="D9" s="134" t="s">
        <v>42</v>
      </c>
      <c r="E9" t="s">
        <v>86</v>
      </c>
      <c r="F9" t="str">
        <f t="shared" si="0"/>
        <v>Oscar Guillermo Niño</v>
      </c>
      <c r="G9" s="18" t="s">
        <v>102</v>
      </c>
      <c r="H9" t="s">
        <v>103</v>
      </c>
      <c r="I9" t="s">
        <v>89</v>
      </c>
      <c r="Q9" t="s">
        <v>104</v>
      </c>
    </row>
    <row r="10" spans="1:24" x14ac:dyDescent="0.3">
      <c r="A10" t="s">
        <v>105</v>
      </c>
      <c r="B10" t="s">
        <v>106</v>
      </c>
      <c r="C10" t="s">
        <v>107</v>
      </c>
      <c r="D10" s="134" t="s">
        <v>42</v>
      </c>
      <c r="E10" t="s">
        <v>86</v>
      </c>
      <c r="F10" t="str">
        <f t="shared" si="0"/>
        <v>Alexandra Cecilia Rivera Pardo</v>
      </c>
      <c r="G10" s="18" t="s">
        <v>108</v>
      </c>
      <c r="H10" t="s">
        <v>109</v>
      </c>
      <c r="I10" t="s">
        <v>89</v>
      </c>
      <c r="Q10" t="s">
        <v>110</v>
      </c>
    </row>
    <row r="11" spans="1:24" x14ac:dyDescent="0.3">
      <c r="A11" t="s">
        <v>111</v>
      </c>
      <c r="B11" t="s">
        <v>112</v>
      </c>
      <c r="C11" t="s">
        <v>113</v>
      </c>
      <c r="D11" s="134" t="s">
        <v>42</v>
      </c>
      <c r="E11" t="s">
        <v>86</v>
      </c>
      <c r="F11" t="str">
        <f t="shared" si="0"/>
        <v>Carmen Victoria Forero Polo</v>
      </c>
      <c r="G11" s="18" t="s">
        <v>114</v>
      </c>
      <c r="H11" t="s">
        <v>115</v>
      </c>
      <c r="I11" t="s">
        <v>89</v>
      </c>
      <c r="Q11" t="s">
        <v>116</v>
      </c>
    </row>
    <row r="12" spans="1:24" x14ac:dyDescent="0.3">
      <c r="A12" t="s">
        <v>117</v>
      </c>
      <c r="B12" t="s">
        <v>118</v>
      </c>
      <c r="C12" t="s">
        <v>119</v>
      </c>
      <c r="D12" s="134" t="s">
        <v>42</v>
      </c>
      <c r="E12" t="s">
        <v>86</v>
      </c>
      <c r="F12" t="str">
        <f t="shared" si="0"/>
        <v>Marcela Manrique Castro</v>
      </c>
      <c r="G12" s="18" t="s">
        <v>120</v>
      </c>
      <c r="H12" t="s">
        <v>121</v>
      </c>
      <c r="I12" t="s">
        <v>89</v>
      </c>
    </row>
    <row r="13" spans="1:24" x14ac:dyDescent="0.3">
      <c r="A13" t="s">
        <v>122</v>
      </c>
      <c r="B13" t="s">
        <v>123</v>
      </c>
      <c r="C13" t="s">
        <v>124</v>
      </c>
      <c r="D13" s="134" t="s">
        <v>42</v>
      </c>
      <c r="E13" t="s">
        <v>86</v>
      </c>
      <c r="F13" t="str">
        <f t="shared" si="0"/>
        <v>Maria Clemencia Pérez Uribe</v>
      </c>
      <c r="G13" s="18" t="s">
        <v>125</v>
      </c>
      <c r="H13" t="s">
        <v>126</v>
      </c>
      <c r="I13" t="s">
        <v>89</v>
      </c>
    </row>
    <row r="14" spans="1:24" x14ac:dyDescent="0.3">
      <c r="A14" t="s">
        <v>127</v>
      </c>
      <c r="B14" t="s">
        <v>128</v>
      </c>
      <c r="C14" t="s">
        <v>129</v>
      </c>
      <c r="D14" s="134" t="s">
        <v>42</v>
      </c>
      <c r="E14" t="s">
        <v>130</v>
      </c>
      <c r="F14" t="str">
        <f>+C14</f>
        <v>Diana Marcela Velasco Rincón</v>
      </c>
      <c r="G14" s="18" t="s">
        <v>131</v>
      </c>
      <c r="H14" t="s">
        <v>132</v>
      </c>
      <c r="I14" t="s">
        <v>133</v>
      </c>
    </row>
    <row r="15" spans="1:24" x14ac:dyDescent="0.3">
      <c r="A15" t="s">
        <v>134</v>
      </c>
      <c r="B15" t="s">
        <v>135</v>
      </c>
      <c r="C15" t="s">
        <v>136</v>
      </c>
      <c r="D15" s="134" t="s">
        <v>42</v>
      </c>
      <c r="E15" t="s">
        <v>137</v>
      </c>
      <c r="F15" t="str">
        <f>+C15</f>
        <v>Gina Alexandra Vaca Linares</v>
      </c>
      <c r="G15" s="18" t="s">
        <v>138</v>
      </c>
      <c r="H15" t="s">
        <v>139</v>
      </c>
      <c r="I15" t="s">
        <v>133</v>
      </c>
    </row>
    <row r="16" spans="1:24" x14ac:dyDescent="0.3">
      <c r="A16" t="s">
        <v>140</v>
      </c>
      <c r="B16" t="s">
        <v>141</v>
      </c>
      <c r="C16" t="s">
        <v>142</v>
      </c>
      <c r="D16" s="134" t="s">
        <v>42</v>
      </c>
      <c r="E16" t="s">
        <v>143</v>
      </c>
      <c r="F16" t="str">
        <f>+C16</f>
        <v>Glenda Martinez Osorio</v>
      </c>
      <c r="G16" s="18" t="s">
        <v>144</v>
      </c>
      <c r="H16" t="s">
        <v>145</v>
      </c>
      <c r="I16" t="s">
        <v>133</v>
      </c>
    </row>
    <row r="17" spans="1:9" x14ac:dyDescent="0.3">
      <c r="A17" t="s">
        <v>146</v>
      </c>
      <c r="B17" t="s">
        <v>147</v>
      </c>
      <c r="C17" t="s">
        <v>148</v>
      </c>
      <c r="D17" s="134" t="s">
        <v>42</v>
      </c>
      <c r="E17" t="s">
        <v>149</v>
      </c>
      <c r="F17" t="str">
        <f>+C17</f>
        <v>Carlos Vladimir Rodriguez Valencia</v>
      </c>
      <c r="G17" s="18" t="s">
        <v>150</v>
      </c>
      <c r="H17" t="s">
        <v>151</v>
      </c>
      <c r="I17" t="s">
        <v>62</v>
      </c>
    </row>
    <row r="18" spans="1:9" x14ac:dyDescent="0.3">
      <c r="A18" t="s">
        <v>152</v>
      </c>
      <c r="B18" t="s">
        <v>123</v>
      </c>
      <c r="C18" t="s">
        <v>124</v>
      </c>
      <c r="D18" s="134" t="s">
        <v>42</v>
      </c>
      <c r="E18" t="s">
        <v>153</v>
      </c>
      <c r="F18" t="str">
        <f>+C18</f>
        <v>Maria Clemencia Pérez Uribe</v>
      </c>
      <c r="G18" s="18" t="s">
        <v>125</v>
      </c>
      <c r="H18" t="s">
        <v>154</v>
      </c>
      <c r="I18" t="s">
        <v>46</v>
      </c>
    </row>
    <row r="19" spans="1:9" x14ac:dyDescent="0.3">
      <c r="A19" t="s">
        <v>155</v>
      </c>
      <c r="B19" t="s">
        <v>156</v>
      </c>
      <c r="C19" t="s">
        <v>157</v>
      </c>
      <c r="D19" s="134" t="s">
        <v>42</v>
      </c>
      <c r="E19" s="134" t="s">
        <v>42</v>
      </c>
      <c r="F19" s="134" t="s">
        <v>42</v>
      </c>
      <c r="G19" s="134" t="s">
        <v>42</v>
      </c>
      <c r="H19" t="s">
        <v>158</v>
      </c>
    </row>
    <row r="20" spans="1:9" x14ac:dyDescent="0.3">
      <c r="A20" t="s">
        <v>159</v>
      </c>
      <c r="B20" t="s">
        <v>160</v>
      </c>
      <c r="C20" t="s">
        <v>161</v>
      </c>
      <c r="D20" s="134" t="s">
        <v>42</v>
      </c>
      <c r="E20" s="134" t="s">
        <v>42</v>
      </c>
      <c r="F20" s="134" t="s">
        <v>42</v>
      </c>
      <c r="G20" s="134" t="s">
        <v>42</v>
      </c>
      <c r="H20" s="134" t="s">
        <v>162</v>
      </c>
    </row>
    <row r="21" spans="1:9" x14ac:dyDescent="0.3">
      <c r="A21" t="s">
        <v>163</v>
      </c>
      <c r="B21" t="s">
        <v>164</v>
      </c>
      <c r="C21" t="s">
        <v>165</v>
      </c>
      <c r="D21" s="134" t="s">
        <v>42</v>
      </c>
      <c r="E21" s="134" t="s">
        <v>42</v>
      </c>
      <c r="F21" s="134" t="s">
        <v>42</v>
      </c>
      <c r="G21" s="134" t="s">
        <v>42</v>
      </c>
      <c r="H21" s="134" t="s">
        <v>166</v>
      </c>
    </row>
    <row r="22" spans="1:9" x14ac:dyDescent="0.3">
      <c r="A22" t="s">
        <v>167</v>
      </c>
      <c r="B22" t="s">
        <v>168</v>
      </c>
      <c r="C22" t="s">
        <v>169</v>
      </c>
      <c r="D22" s="134" t="s">
        <v>42</v>
      </c>
      <c r="E22" s="134" t="s">
        <v>42</v>
      </c>
      <c r="F22" s="134" t="s">
        <v>42</v>
      </c>
      <c r="G22" s="134" t="s">
        <v>42</v>
      </c>
      <c r="H22" s="134" t="s">
        <v>170</v>
      </c>
    </row>
    <row r="23" spans="1:9" x14ac:dyDescent="0.3">
      <c r="A23" t="s">
        <v>171</v>
      </c>
      <c r="B23" t="s">
        <v>172</v>
      </c>
      <c r="C23" t="s">
        <v>173</v>
      </c>
      <c r="D23" s="134" t="s">
        <v>42</v>
      </c>
      <c r="E23" s="134" t="s">
        <v>42</v>
      </c>
      <c r="F23" s="134" t="s">
        <v>42</v>
      </c>
      <c r="G23" s="134" t="s">
        <v>42</v>
      </c>
      <c r="H23" s="134" t="s">
        <v>174</v>
      </c>
    </row>
    <row r="24" spans="1:9" x14ac:dyDescent="0.3">
      <c r="A24" t="s">
        <v>175</v>
      </c>
      <c r="B24" t="s">
        <v>176</v>
      </c>
      <c r="C24" t="s">
        <v>177</v>
      </c>
      <c r="D24" s="134" t="s">
        <v>42</v>
      </c>
      <c r="E24" s="134" t="s">
        <v>42</v>
      </c>
      <c r="F24" s="134" t="s">
        <v>42</v>
      </c>
      <c r="G24" s="134" t="s">
        <v>42</v>
      </c>
      <c r="H24" s="134" t="s">
        <v>178</v>
      </c>
    </row>
    <row r="25" spans="1:9" x14ac:dyDescent="0.3">
      <c r="A25" t="s">
        <v>179</v>
      </c>
      <c r="B25" t="s">
        <v>180</v>
      </c>
      <c r="C25" t="s">
        <v>181</v>
      </c>
      <c r="D25" s="134" t="s">
        <v>42</v>
      </c>
      <c r="E25" s="134" t="s">
        <v>42</v>
      </c>
      <c r="F25" s="134" t="s">
        <v>42</v>
      </c>
      <c r="G25" s="134" t="s">
        <v>42</v>
      </c>
      <c r="H25" s="134" t="s">
        <v>182</v>
      </c>
    </row>
    <row r="26" spans="1:9" x14ac:dyDescent="0.3">
      <c r="A26" t="s">
        <v>183</v>
      </c>
      <c r="B26" t="s">
        <v>184</v>
      </c>
      <c r="C26" t="s">
        <v>185</v>
      </c>
      <c r="D26" s="134" t="s">
        <v>42</v>
      </c>
      <c r="E26" s="134" t="s">
        <v>42</v>
      </c>
      <c r="F26" s="134" t="s">
        <v>42</v>
      </c>
      <c r="G26" s="134" t="s">
        <v>42</v>
      </c>
      <c r="H26" s="134" t="s">
        <v>186</v>
      </c>
    </row>
    <row r="27" spans="1:9" x14ac:dyDescent="0.3">
      <c r="A27" t="s">
        <v>187</v>
      </c>
      <c r="B27" t="s">
        <v>188</v>
      </c>
      <c r="C27" t="s">
        <v>189</v>
      </c>
      <c r="D27" s="134" t="s">
        <v>42</v>
      </c>
      <c r="E27" s="134" t="s">
        <v>42</v>
      </c>
      <c r="F27" s="134" t="s">
        <v>42</v>
      </c>
      <c r="G27" s="134" t="s">
        <v>42</v>
      </c>
      <c r="H27" s="134" t="s">
        <v>190</v>
      </c>
    </row>
    <row r="28" spans="1:9" x14ac:dyDescent="0.3">
      <c r="A28" t="s">
        <v>191</v>
      </c>
      <c r="B28" t="s">
        <v>192</v>
      </c>
      <c r="C28" t="s">
        <v>193</v>
      </c>
      <c r="D28" s="134" t="s">
        <v>42</v>
      </c>
      <c r="E28" s="134" t="s">
        <v>42</v>
      </c>
      <c r="F28" s="134" t="s">
        <v>42</v>
      </c>
      <c r="G28" s="134" t="s">
        <v>42</v>
      </c>
      <c r="H28" s="134" t="s">
        <v>194</v>
      </c>
    </row>
    <row r="29" spans="1:9" x14ac:dyDescent="0.3">
      <c r="A29" t="s">
        <v>195</v>
      </c>
      <c r="B29" t="s">
        <v>196</v>
      </c>
      <c r="C29" t="s">
        <v>197</v>
      </c>
      <c r="D29" s="134" t="s">
        <v>42</v>
      </c>
      <c r="E29" s="134" t="s">
        <v>42</v>
      </c>
      <c r="F29" s="134" t="s">
        <v>42</v>
      </c>
      <c r="G29" s="134" t="s">
        <v>42</v>
      </c>
      <c r="H29" s="134" t="s">
        <v>198</v>
      </c>
    </row>
    <row r="30" spans="1:9" x14ac:dyDescent="0.3">
      <c r="A30" t="s">
        <v>199</v>
      </c>
      <c r="B30" t="s">
        <v>200</v>
      </c>
      <c r="C30" t="s">
        <v>201</v>
      </c>
      <c r="D30" s="134" t="s">
        <v>42</v>
      </c>
      <c r="E30" s="134" t="s">
        <v>42</v>
      </c>
      <c r="F30" s="134" t="s">
        <v>42</v>
      </c>
      <c r="G30" s="134" t="s">
        <v>42</v>
      </c>
      <c r="H30" s="134" t="s">
        <v>202</v>
      </c>
    </row>
    <row r="31" spans="1:9" x14ac:dyDescent="0.3">
      <c r="A31" s="133"/>
      <c r="B31" s="133"/>
      <c r="C31" s="133"/>
      <c r="D31" s="134"/>
      <c r="E31" s="134"/>
      <c r="F31" s="134"/>
      <c r="G31" s="134"/>
      <c r="H31" s="134"/>
    </row>
    <row r="32" spans="1:9" x14ac:dyDescent="0.3">
      <c r="A32" s="132"/>
      <c r="B32" s="132"/>
      <c r="C32" s="132"/>
    </row>
    <row r="34" spans="1:6" x14ac:dyDescent="0.3">
      <c r="B34" t="s">
        <v>203</v>
      </c>
      <c r="C34" t="str">
        <f ca="1">CONCATENATE(B34,"_",RANDBETWEEN(100,999))</f>
        <v>ejemplo_925</v>
      </c>
    </row>
    <row r="35" spans="1:6" x14ac:dyDescent="0.3">
      <c r="B35" s="249"/>
      <c r="D35" s="249"/>
      <c r="E35" s="249"/>
      <c r="F35" s="249"/>
    </row>
    <row r="36" spans="1:6" x14ac:dyDescent="0.3">
      <c r="A36" s="17" t="s">
        <v>21</v>
      </c>
      <c r="B36" t="s">
        <v>204</v>
      </c>
      <c r="C36" t="s">
        <v>205</v>
      </c>
      <c r="D36" t="s">
        <v>206</v>
      </c>
      <c r="E36" t="s">
        <v>207</v>
      </c>
    </row>
    <row r="37" spans="1:6" x14ac:dyDescent="0.3">
      <c r="A37" s="245" t="s">
        <v>208</v>
      </c>
      <c r="B37" t="s">
        <v>209</v>
      </c>
      <c r="C37" t="s">
        <v>210</v>
      </c>
      <c r="D37" t="s">
        <v>211</v>
      </c>
      <c r="E37" t="s">
        <v>212</v>
      </c>
    </row>
    <row r="38" spans="1:6" x14ac:dyDescent="0.3">
      <c r="A38" s="246" t="s">
        <v>213</v>
      </c>
      <c r="B38" t="s">
        <v>214</v>
      </c>
      <c r="C38" t="s">
        <v>215</v>
      </c>
      <c r="D38" t="s">
        <v>216</v>
      </c>
      <c r="E38" t="s">
        <v>217</v>
      </c>
    </row>
    <row r="39" spans="1:6" x14ac:dyDescent="0.3">
      <c r="A39" s="247" t="s">
        <v>218</v>
      </c>
      <c r="B39" t="s">
        <v>219</v>
      </c>
      <c r="C39" t="s">
        <v>220</v>
      </c>
      <c r="D39" t="s">
        <v>221</v>
      </c>
      <c r="E39" t="s">
        <v>222</v>
      </c>
    </row>
    <row r="40" spans="1:6" x14ac:dyDescent="0.3">
      <c r="A40" s="247" t="s">
        <v>223</v>
      </c>
      <c r="B40" t="s">
        <v>224</v>
      </c>
      <c r="C40" t="s">
        <v>225</v>
      </c>
      <c r="D40" t="s">
        <v>226</v>
      </c>
      <c r="E40" t="s">
        <v>227</v>
      </c>
    </row>
    <row r="41" spans="1:6" x14ac:dyDescent="0.3">
      <c r="A41" s="247" t="s">
        <v>228</v>
      </c>
      <c r="B41" t="s">
        <v>229</v>
      </c>
      <c r="C41" t="s">
        <v>230</v>
      </c>
      <c r="D41" t="s">
        <v>231</v>
      </c>
      <c r="E41" t="s">
        <v>232</v>
      </c>
    </row>
    <row r="42" spans="1:6" x14ac:dyDescent="0.3">
      <c r="A42" s="386" t="s">
        <v>167</v>
      </c>
      <c r="B42" s="387" t="s">
        <v>233</v>
      </c>
      <c r="C42" s="387" t="s">
        <v>234</v>
      </c>
      <c r="D42" s="387" t="s">
        <v>235</v>
      </c>
      <c r="E42" s="387" t="s">
        <v>236</v>
      </c>
    </row>
    <row r="43" spans="1:6" x14ac:dyDescent="0.3">
      <c r="A43" s="247" t="s">
        <v>237</v>
      </c>
      <c r="B43" t="s">
        <v>238</v>
      </c>
      <c r="C43" t="s">
        <v>239</v>
      </c>
      <c r="D43" t="s">
        <v>240</v>
      </c>
      <c r="E43" t="s">
        <v>241</v>
      </c>
    </row>
    <row r="44" spans="1:6" x14ac:dyDescent="0.3">
      <c r="A44" s="248" t="s">
        <v>242</v>
      </c>
      <c r="B44" t="s">
        <v>243</v>
      </c>
      <c r="C44" t="s">
        <v>244</v>
      </c>
      <c r="D44" t="s">
        <v>245</v>
      </c>
      <c r="E44" t="s">
        <v>246</v>
      </c>
    </row>
    <row r="45" spans="1:6" x14ac:dyDescent="0.3">
      <c r="A45" s="388" t="s">
        <v>70</v>
      </c>
      <c r="B45" s="387" t="s">
        <v>247</v>
      </c>
      <c r="C45" s="387" t="s">
        <v>248</v>
      </c>
      <c r="D45" s="387" t="s">
        <v>249</v>
      </c>
      <c r="E45" s="387" t="s">
        <v>250</v>
      </c>
    </row>
    <row r="46" spans="1:6" x14ac:dyDescent="0.3">
      <c r="A46" s="389" t="s">
        <v>251</v>
      </c>
      <c r="B46" s="390" t="s">
        <v>252</v>
      </c>
      <c r="C46" s="390" t="s">
        <v>253</v>
      </c>
      <c r="D46" s="390" t="s">
        <v>254</v>
      </c>
      <c r="E46" s="390" t="s">
        <v>255</v>
      </c>
    </row>
    <row r="47" spans="1:6" x14ac:dyDescent="0.3">
      <c r="A47" s="248" t="s">
        <v>256</v>
      </c>
      <c r="B47" t="s">
        <v>257</v>
      </c>
      <c r="C47" t="s">
        <v>258</v>
      </c>
      <c r="D47" t="s">
        <v>259</v>
      </c>
      <c r="E47" t="s">
        <v>260</v>
      </c>
    </row>
    <row r="48" spans="1:6" x14ac:dyDescent="0.3">
      <c r="A48" s="246" t="s">
        <v>261</v>
      </c>
      <c r="B48" t="s">
        <v>262</v>
      </c>
      <c r="C48" t="s">
        <v>263</v>
      </c>
      <c r="D48" t="s">
        <v>264</v>
      </c>
      <c r="E48" t="s">
        <v>265</v>
      </c>
    </row>
    <row r="49" spans="1:5" x14ac:dyDescent="0.3">
      <c r="A49" s="247" t="s">
        <v>266</v>
      </c>
      <c r="B49" t="s">
        <v>267</v>
      </c>
      <c r="C49" t="s">
        <v>268</v>
      </c>
      <c r="D49" t="s">
        <v>269</v>
      </c>
      <c r="E49" t="s">
        <v>270</v>
      </c>
    </row>
    <row r="50" spans="1:5" x14ac:dyDescent="0.3">
      <c r="A50" s="247" t="s">
        <v>271</v>
      </c>
      <c r="B50" t="s">
        <v>272</v>
      </c>
      <c r="C50" t="s">
        <v>273</v>
      </c>
      <c r="D50" t="s">
        <v>274</v>
      </c>
      <c r="E50" t="s">
        <v>275</v>
      </c>
    </row>
    <row r="51" spans="1:5" x14ac:dyDescent="0.3">
      <c r="A51" s="386" t="s">
        <v>199</v>
      </c>
      <c r="B51" s="387" t="s">
        <v>276</v>
      </c>
      <c r="C51" s="387" t="s">
        <v>273</v>
      </c>
      <c r="D51" s="387" t="s">
        <v>274</v>
      </c>
      <c r="E51" s="387" t="s">
        <v>275</v>
      </c>
    </row>
    <row r="52" spans="1:5" x14ac:dyDescent="0.3">
      <c r="A52" s="248" t="s">
        <v>83</v>
      </c>
      <c r="B52" t="s">
        <v>277</v>
      </c>
      <c r="C52" t="s">
        <v>278</v>
      </c>
      <c r="D52" t="s">
        <v>279</v>
      </c>
      <c r="E52" t="s">
        <v>280</v>
      </c>
    </row>
    <row r="53" spans="1:5" x14ac:dyDescent="0.3">
      <c r="A53" s="246" t="s">
        <v>281</v>
      </c>
      <c r="B53" t="s">
        <v>282</v>
      </c>
      <c r="C53" t="s">
        <v>283</v>
      </c>
      <c r="D53" t="s">
        <v>284</v>
      </c>
      <c r="E53" t="s">
        <v>285</v>
      </c>
    </row>
    <row r="54" spans="1:5" x14ac:dyDescent="0.3">
      <c r="A54" s="247" t="s">
        <v>286</v>
      </c>
      <c r="B54" t="s">
        <v>287</v>
      </c>
      <c r="C54" t="s">
        <v>283</v>
      </c>
      <c r="D54" t="s">
        <v>284</v>
      </c>
      <c r="E54" t="s">
        <v>285</v>
      </c>
    </row>
    <row r="55" spans="1:5" x14ac:dyDescent="0.3">
      <c r="A55" s="248" t="s">
        <v>183</v>
      </c>
      <c r="B55" t="s">
        <v>288</v>
      </c>
      <c r="C55" t="s">
        <v>283</v>
      </c>
      <c r="D55" t="s">
        <v>284</v>
      </c>
      <c r="E55" t="s">
        <v>285</v>
      </c>
    </row>
    <row r="56" spans="1:5" x14ac:dyDescent="0.3">
      <c r="A56" s="246" t="s">
        <v>289</v>
      </c>
      <c r="B56" t="s">
        <v>290</v>
      </c>
      <c r="C56" t="s">
        <v>291</v>
      </c>
      <c r="D56" t="s">
        <v>292</v>
      </c>
      <c r="E56" t="s">
        <v>293</v>
      </c>
    </row>
    <row r="57" spans="1:5" x14ac:dyDescent="0.3">
      <c r="A57" s="247" t="s">
        <v>294</v>
      </c>
      <c r="B57" t="s">
        <v>295</v>
      </c>
      <c r="C57" t="s">
        <v>296</v>
      </c>
      <c r="D57" t="s">
        <v>297</v>
      </c>
      <c r="E57" t="s">
        <v>298</v>
      </c>
    </row>
    <row r="58" spans="1:5" x14ac:dyDescent="0.3">
      <c r="A58" s="247" t="s">
        <v>299</v>
      </c>
      <c r="B58" t="s">
        <v>300</v>
      </c>
      <c r="C58" t="s">
        <v>301</v>
      </c>
      <c r="D58" t="s">
        <v>302</v>
      </c>
      <c r="E58" t="s">
        <v>303</v>
      </c>
    </row>
    <row r="59" spans="1:5" x14ac:dyDescent="0.3">
      <c r="A59" s="247" t="s">
        <v>304</v>
      </c>
      <c r="B59" t="s">
        <v>305</v>
      </c>
      <c r="C59" t="s">
        <v>306</v>
      </c>
      <c r="D59" t="s">
        <v>307</v>
      </c>
      <c r="E59" t="s">
        <v>308</v>
      </c>
    </row>
    <row r="60" spans="1:5" x14ac:dyDescent="0.3">
      <c r="A60" s="247" t="s">
        <v>309</v>
      </c>
      <c r="B60" t="s">
        <v>310</v>
      </c>
      <c r="C60" t="s">
        <v>311</v>
      </c>
      <c r="D60" t="s">
        <v>312</v>
      </c>
      <c r="E60" t="s">
        <v>313</v>
      </c>
    </row>
    <row r="61" spans="1:5" x14ac:dyDescent="0.3">
      <c r="A61" s="247" t="s">
        <v>314</v>
      </c>
      <c r="B61" t="s">
        <v>315</v>
      </c>
      <c r="C61" t="s">
        <v>316</v>
      </c>
      <c r="D61" t="s">
        <v>317</v>
      </c>
      <c r="E61" t="s">
        <v>318</v>
      </c>
    </row>
    <row r="62" spans="1:5" x14ac:dyDescent="0.3">
      <c r="A62" s="248" t="s">
        <v>319</v>
      </c>
      <c r="B62" t="s">
        <v>320</v>
      </c>
      <c r="C62" t="s">
        <v>321</v>
      </c>
      <c r="D62" t="s">
        <v>322</v>
      </c>
      <c r="E62" t="s">
        <v>323</v>
      </c>
    </row>
    <row r="65" spans="1:5" x14ac:dyDescent="0.3">
      <c r="B65" t="s">
        <v>324</v>
      </c>
    </row>
    <row r="69" spans="1:5" x14ac:dyDescent="0.3">
      <c r="A69" s="137" t="s">
        <v>325</v>
      </c>
      <c r="B69" s="137" t="s">
        <v>326</v>
      </c>
      <c r="C69" s="137" t="s">
        <v>327</v>
      </c>
      <c r="D69" s="137" t="s">
        <v>328</v>
      </c>
      <c r="E69" s="137" t="s">
        <v>329</v>
      </c>
    </row>
    <row r="70" spans="1:5" x14ac:dyDescent="0.3">
      <c r="A70" s="145" t="s">
        <v>330</v>
      </c>
      <c r="B70" t="e">
        <f t="shared" ref="B70:C89" si="1">+VLOOKUP($A70,bd,MATCH(B$69,bdfila,0),0)</f>
        <v>#N/A</v>
      </c>
      <c r="C70" t="e">
        <f t="shared" si="1"/>
        <v>#N/A</v>
      </c>
      <c r="D70" t="s">
        <v>331</v>
      </c>
      <c r="E70" t="s">
        <v>332</v>
      </c>
    </row>
    <row r="71" spans="1:5" x14ac:dyDescent="0.3">
      <c r="A71" s="145" t="s">
        <v>333</v>
      </c>
      <c r="B71" t="e">
        <f t="shared" si="1"/>
        <v>#N/A</v>
      </c>
      <c r="C71" t="e">
        <f t="shared" si="1"/>
        <v>#N/A</v>
      </c>
      <c r="D71" t="s">
        <v>331</v>
      </c>
      <c r="E71" t="s">
        <v>332</v>
      </c>
    </row>
    <row r="72" spans="1:5" x14ac:dyDescent="0.3">
      <c r="A72" s="145" t="s">
        <v>334</v>
      </c>
      <c r="B72" t="e">
        <f t="shared" si="1"/>
        <v>#N/A</v>
      </c>
      <c r="C72" t="e">
        <f t="shared" si="1"/>
        <v>#N/A</v>
      </c>
      <c r="D72" t="s">
        <v>331</v>
      </c>
      <c r="E72" t="s">
        <v>332</v>
      </c>
    </row>
    <row r="73" spans="1:5" x14ac:dyDescent="0.3">
      <c r="A73" s="145" t="s">
        <v>335</v>
      </c>
      <c r="B73" t="e">
        <f t="shared" si="1"/>
        <v>#N/A</v>
      </c>
      <c r="C73" t="e">
        <f t="shared" si="1"/>
        <v>#N/A</v>
      </c>
      <c r="D73" t="s">
        <v>331</v>
      </c>
      <c r="E73" t="s">
        <v>332</v>
      </c>
    </row>
    <row r="74" spans="1:5" x14ac:dyDescent="0.3">
      <c r="A74" s="145" t="s">
        <v>336</v>
      </c>
      <c r="B74" t="e">
        <f t="shared" si="1"/>
        <v>#N/A</v>
      </c>
      <c r="C74" t="e">
        <f t="shared" si="1"/>
        <v>#N/A</v>
      </c>
      <c r="D74" t="s">
        <v>331</v>
      </c>
      <c r="E74" t="s">
        <v>332</v>
      </c>
    </row>
    <row r="75" spans="1:5" x14ac:dyDescent="0.3">
      <c r="A75" s="145" t="s">
        <v>337</v>
      </c>
      <c r="B75" t="e">
        <f t="shared" si="1"/>
        <v>#N/A</v>
      </c>
      <c r="C75" t="e">
        <f t="shared" si="1"/>
        <v>#N/A</v>
      </c>
      <c r="D75" t="s">
        <v>331</v>
      </c>
      <c r="E75" t="s">
        <v>332</v>
      </c>
    </row>
    <row r="76" spans="1:5" x14ac:dyDescent="0.3">
      <c r="A76" s="145" t="s">
        <v>338</v>
      </c>
      <c r="B76" t="str">
        <f t="shared" si="1"/>
        <v>Oficina Asesora de Planeación</v>
      </c>
      <c r="C76" t="str">
        <f t="shared" si="1"/>
        <v>Direccionamiento estratégico</v>
      </c>
      <c r="D76" t="s">
        <v>339</v>
      </c>
      <c r="E76" t="s">
        <v>332</v>
      </c>
    </row>
    <row r="77" spans="1:5" x14ac:dyDescent="0.3">
      <c r="A77" s="145" t="s">
        <v>340</v>
      </c>
      <c r="B77" t="str">
        <f t="shared" si="1"/>
        <v>Oficina Asesora de Planeación</v>
      </c>
      <c r="C77" t="str">
        <f t="shared" si="1"/>
        <v>Direccionamiento estratégico</v>
      </c>
      <c r="D77" t="s">
        <v>339</v>
      </c>
      <c r="E77" t="s">
        <v>332</v>
      </c>
    </row>
    <row r="78" spans="1:5" x14ac:dyDescent="0.3">
      <c r="A78" s="145">
        <v>153</v>
      </c>
      <c r="B78" t="str">
        <f t="shared" si="1"/>
        <v>Oficina Asesora de Jurídica</v>
      </c>
      <c r="C78" t="str">
        <f t="shared" si="1"/>
        <v>Gestión Jurídica</v>
      </c>
      <c r="D78" t="s">
        <v>341</v>
      </c>
      <c r="E78" t="s">
        <v>342</v>
      </c>
    </row>
    <row r="79" spans="1:5" x14ac:dyDescent="0.3">
      <c r="A79" s="145">
        <v>154</v>
      </c>
      <c r="B79" t="str">
        <f t="shared" si="1"/>
        <v>Oficina Asesora de Jurídica</v>
      </c>
      <c r="C79" t="str">
        <f t="shared" si="1"/>
        <v>Gestión Jurídica</v>
      </c>
      <c r="D79" t="s">
        <v>341</v>
      </c>
      <c r="E79" t="s">
        <v>342</v>
      </c>
    </row>
    <row r="80" spans="1:5" x14ac:dyDescent="0.3">
      <c r="A80" s="145">
        <v>156</v>
      </c>
      <c r="B80" t="str">
        <f t="shared" si="1"/>
        <v>Oficina Asesora de Jurídica</v>
      </c>
      <c r="C80" t="str">
        <f t="shared" si="1"/>
        <v>Gestión Jurídica</v>
      </c>
      <c r="D80" t="s">
        <v>341</v>
      </c>
      <c r="E80" t="s">
        <v>342</v>
      </c>
    </row>
    <row r="81" spans="1:5" x14ac:dyDescent="0.3">
      <c r="A81" s="145">
        <v>159</v>
      </c>
      <c r="B81" t="str">
        <f t="shared" si="1"/>
        <v>Oficina Asesora de Jurídica</v>
      </c>
      <c r="C81" t="str">
        <f t="shared" si="1"/>
        <v>Gestión Jurídica</v>
      </c>
      <c r="D81" t="s">
        <v>341</v>
      </c>
      <c r="E81" t="s">
        <v>342</v>
      </c>
    </row>
    <row r="82" spans="1:5" x14ac:dyDescent="0.3">
      <c r="A82" s="145">
        <v>134</v>
      </c>
      <c r="B82" t="str">
        <f t="shared" si="1"/>
        <v>Oficina de Control Interno</v>
      </c>
      <c r="C82" t="str">
        <f t="shared" si="1"/>
        <v>Evaluación del Sistema de Control Interno</v>
      </c>
      <c r="D82" t="s">
        <v>343</v>
      </c>
      <c r="E82" t="s">
        <v>344</v>
      </c>
    </row>
    <row r="83" spans="1:5" x14ac:dyDescent="0.3">
      <c r="A83" s="145" t="s">
        <v>345</v>
      </c>
      <c r="B83" t="str">
        <f t="shared" si="1"/>
        <v>Oficina de Control Interno</v>
      </c>
      <c r="C83" t="str">
        <f t="shared" si="1"/>
        <v>Evaluación del Sistema de Control Interno</v>
      </c>
      <c r="D83" t="s">
        <v>343</v>
      </c>
      <c r="E83" t="s">
        <v>344</v>
      </c>
    </row>
    <row r="84" spans="1:5" x14ac:dyDescent="0.3">
      <c r="A84" s="145">
        <v>160</v>
      </c>
      <c r="B84" t="str">
        <f t="shared" si="1"/>
        <v>Oficina de Control Interno Disciplinario</v>
      </c>
      <c r="C84" t="str">
        <f t="shared" si="1"/>
        <v>Control Disciplinario</v>
      </c>
      <c r="D84" t="s">
        <v>165</v>
      </c>
      <c r="E84" t="s">
        <v>344</v>
      </c>
    </row>
    <row r="85" spans="1:5" x14ac:dyDescent="0.3">
      <c r="A85" s="145" t="s">
        <v>346</v>
      </c>
      <c r="B85" t="str">
        <f t="shared" si="1"/>
        <v>Oficina de Control Interno Disciplinario</v>
      </c>
      <c r="C85" t="str">
        <f t="shared" si="1"/>
        <v>Control Disciplinario</v>
      </c>
      <c r="D85" t="s">
        <v>165</v>
      </c>
      <c r="E85" t="s">
        <v>344</v>
      </c>
    </row>
    <row r="86" spans="1:5" x14ac:dyDescent="0.3">
      <c r="A86" s="145">
        <v>161</v>
      </c>
      <c r="B86" t="str">
        <f t="shared" si="1"/>
        <v>Oficina de Protocolo</v>
      </c>
      <c r="C86" t="str">
        <f t="shared" si="1"/>
        <v>No Aplica</v>
      </c>
      <c r="D86" t="s">
        <v>169</v>
      </c>
      <c r="E86" t="s">
        <v>347</v>
      </c>
    </row>
    <row r="87" spans="1:5" x14ac:dyDescent="0.3">
      <c r="A87" s="145">
        <v>138</v>
      </c>
      <c r="B87" t="str">
        <f t="shared" si="1"/>
        <v>Oficina de Tecnologías de la Información y las Comunicaciones</v>
      </c>
      <c r="C87" t="str">
        <f t="shared" si="1"/>
        <v>Estrategia de Tecnologías de la Información y las Comunicaciones</v>
      </c>
      <c r="D87" t="s">
        <v>348</v>
      </c>
      <c r="E87" t="s">
        <v>347</v>
      </c>
    </row>
    <row r="88" spans="1:5" x14ac:dyDescent="0.3">
      <c r="A88" s="145">
        <v>145</v>
      </c>
      <c r="B88" t="str">
        <f t="shared" si="1"/>
        <v>Oficina de Tecnologías de la Información y las Comunicaciones</v>
      </c>
      <c r="C88" t="str">
        <f t="shared" si="1"/>
        <v>Gestión, administración y soporte de infraestructura y recursos tecnológicos</v>
      </c>
      <c r="D88" t="s">
        <v>348</v>
      </c>
      <c r="E88" t="s">
        <v>347</v>
      </c>
    </row>
    <row r="89" spans="1:5" x14ac:dyDescent="0.3">
      <c r="A89" s="145" t="s">
        <v>349</v>
      </c>
      <c r="B89" t="str">
        <f t="shared" si="1"/>
        <v>Oficina Alta Consejería Distrital de Tecnologías de Información y Comunicaciones - TIC</v>
      </c>
      <c r="C89" t="str">
        <f t="shared" si="1"/>
        <v>No Aplica</v>
      </c>
      <c r="D89" t="s">
        <v>74</v>
      </c>
      <c r="E89" t="s">
        <v>347</v>
      </c>
    </row>
    <row r="90" spans="1:5" x14ac:dyDescent="0.3">
      <c r="A90" s="145" t="s">
        <v>350</v>
      </c>
      <c r="B90" t="str">
        <f t="shared" ref="B90:C109" si="2">+VLOOKUP($A90,bd,MATCH(B$69,bdfila,0),0)</f>
        <v>Oficina Alta Consejería Distrital de Tecnologías de Información y Comunicaciones - TIC</v>
      </c>
      <c r="C90" t="str">
        <f t="shared" si="2"/>
        <v>No Aplica</v>
      </c>
      <c r="D90" t="s">
        <v>74</v>
      </c>
      <c r="E90" t="s">
        <v>347</v>
      </c>
    </row>
    <row r="91" spans="1:5" x14ac:dyDescent="0.3">
      <c r="A91" s="145" t="s">
        <v>351</v>
      </c>
      <c r="B91" t="str">
        <f t="shared" si="2"/>
        <v>Oficina Alta Consejería para los Derechos de las Víctimas, la Paz y la Reconciliación</v>
      </c>
      <c r="C91" t="str">
        <f t="shared" si="2"/>
        <v>Asistencia, atención y reparación integral a víctimas del conflicto armado e implementación de acciones de memoria, paz y reconciliación en Bogotá</v>
      </c>
      <c r="D91" t="s">
        <v>352</v>
      </c>
      <c r="E91" t="s">
        <v>353</v>
      </c>
    </row>
    <row r="92" spans="1:5" x14ac:dyDescent="0.3">
      <c r="A92" s="145" t="s">
        <v>354</v>
      </c>
      <c r="B92" t="str">
        <f t="shared" si="2"/>
        <v>Oficina Alta Consejería para los Derechos de las Víctimas, la Paz y la Reconciliación</v>
      </c>
      <c r="C92" t="str">
        <f t="shared" si="2"/>
        <v>Asistencia, atención y reparación integral a víctimas del conflicto armado e implementación de acciones de memoria, paz y reconciliación en Bogotá</v>
      </c>
      <c r="D92" t="s">
        <v>352</v>
      </c>
      <c r="E92" t="s">
        <v>353</v>
      </c>
    </row>
    <row r="93" spans="1:5" x14ac:dyDescent="0.3">
      <c r="A93" s="145" t="s">
        <v>355</v>
      </c>
      <c r="B93" t="str">
        <f t="shared" si="2"/>
        <v>Oficina Alta Consejería para los Derechos de las Víctimas, la Paz y la Reconciliación</v>
      </c>
      <c r="C93" t="str">
        <f t="shared" si="2"/>
        <v>Asistencia, atención y reparación integral a víctimas del conflicto armado e implementación de acciones de memoria, paz y reconciliación en Bogotá</v>
      </c>
      <c r="D93" t="s">
        <v>352</v>
      </c>
      <c r="E93" t="s">
        <v>353</v>
      </c>
    </row>
    <row r="94" spans="1:5" x14ac:dyDescent="0.3">
      <c r="A94" s="145" t="s">
        <v>356</v>
      </c>
      <c r="B94" t="str">
        <f t="shared" si="2"/>
        <v>Oficina Alta Consejería para los Derechos de las Víctimas, la Paz y la Reconciliación</v>
      </c>
      <c r="C94" t="str">
        <f t="shared" si="2"/>
        <v>Asistencia, atención y reparación integral a víctimas del conflicto armado e implementación de acciones de memoria, paz y reconciliación en Bogotá</v>
      </c>
      <c r="D94" t="s">
        <v>352</v>
      </c>
      <c r="E94" t="s">
        <v>353</v>
      </c>
    </row>
    <row r="95" spans="1:5" x14ac:dyDescent="0.3">
      <c r="A95" s="145" t="s">
        <v>357</v>
      </c>
      <c r="B95" t="str">
        <f t="shared" si="2"/>
        <v>Oficina Alta Consejería para los Derechos de las Víctimas, la Paz y la Reconciliación</v>
      </c>
      <c r="C95" t="str">
        <f t="shared" si="2"/>
        <v>Asistencia, atención y reparación integral a víctimas del conflicto armado e implementación de acciones de memoria, paz y reconciliación en Bogotá</v>
      </c>
      <c r="D95" t="s">
        <v>352</v>
      </c>
      <c r="E95" t="s">
        <v>353</v>
      </c>
    </row>
    <row r="96" spans="1:5" x14ac:dyDescent="0.3">
      <c r="A96" s="145" t="s">
        <v>358</v>
      </c>
      <c r="B96" t="str">
        <f t="shared" si="2"/>
        <v>Oficina Consejería de Comunicaciones</v>
      </c>
      <c r="C96" t="str">
        <f t="shared" si="2"/>
        <v>Comunicación Pública</v>
      </c>
      <c r="D96" t="s">
        <v>359</v>
      </c>
      <c r="E96" t="s">
        <v>344</v>
      </c>
    </row>
    <row r="97" spans="1:5" x14ac:dyDescent="0.3">
      <c r="A97" s="145" t="s">
        <v>360</v>
      </c>
      <c r="B97" t="str">
        <f t="shared" si="2"/>
        <v xml:space="preserve">Dirección Distrital de Archivo </v>
      </c>
      <c r="C97" t="str">
        <f t="shared" si="2"/>
        <v>Gestión de la Función Archivística y del patrimonio documental del Distrito Capital</v>
      </c>
      <c r="D97" t="s">
        <v>361</v>
      </c>
      <c r="E97" t="s">
        <v>362</v>
      </c>
    </row>
    <row r="98" spans="1:5" x14ac:dyDescent="0.3">
      <c r="A98" s="145" t="s">
        <v>363</v>
      </c>
      <c r="B98" t="str">
        <f t="shared" si="2"/>
        <v>Dirección Distrital de Desarrollo Institucional</v>
      </c>
      <c r="C98" t="str">
        <f t="shared" si="2"/>
        <v>Fortalecimiento de la administración y la gestión pública Distrital</v>
      </c>
      <c r="D98" t="s">
        <v>364</v>
      </c>
      <c r="E98" t="s">
        <v>353</v>
      </c>
    </row>
    <row r="99" spans="1:5" x14ac:dyDescent="0.3">
      <c r="A99" s="145" t="s">
        <v>365</v>
      </c>
      <c r="B99" t="str">
        <f t="shared" si="2"/>
        <v>Dirección Distrital de Desarrollo Institucional</v>
      </c>
      <c r="C99" t="str">
        <f t="shared" si="2"/>
        <v>Fortalecimiento de la administración y la gestión pública Distrital</v>
      </c>
      <c r="D99" t="s">
        <v>364</v>
      </c>
      <c r="E99" t="s">
        <v>353</v>
      </c>
    </row>
    <row r="100" spans="1:5" x14ac:dyDescent="0.3">
      <c r="A100" s="145" t="s">
        <v>366</v>
      </c>
      <c r="B100" t="str">
        <f t="shared" si="2"/>
        <v>Dirección Distrital de Relaciones Internacionales</v>
      </c>
      <c r="C100" t="str">
        <f t="shared" si="2"/>
        <v>Internacionalización de Bogotá</v>
      </c>
      <c r="D100" t="s">
        <v>60</v>
      </c>
      <c r="E100" t="s">
        <v>353</v>
      </c>
    </row>
    <row r="101" spans="1:5" x14ac:dyDescent="0.3">
      <c r="A101" s="145" t="s">
        <v>367</v>
      </c>
      <c r="B101" t="str">
        <f t="shared" si="2"/>
        <v>Dirección Distrital de Relaciones Internacionales</v>
      </c>
      <c r="C101" t="str">
        <f t="shared" si="2"/>
        <v>Internacionalización de Bogotá</v>
      </c>
      <c r="D101" t="s">
        <v>60</v>
      </c>
      <c r="E101" t="s">
        <v>353</v>
      </c>
    </row>
    <row r="102" spans="1:5" x14ac:dyDescent="0.3">
      <c r="A102" s="145" t="s">
        <v>368</v>
      </c>
      <c r="B102" t="str">
        <f t="shared" si="2"/>
        <v>Dirección Distrital de Relaciones Internacionales</v>
      </c>
      <c r="C102" t="str">
        <f t="shared" si="2"/>
        <v>Internacionalización de Bogotá</v>
      </c>
      <c r="D102" t="s">
        <v>60</v>
      </c>
      <c r="E102" t="s">
        <v>353</v>
      </c>
    </row>
    <row r="103" spans="1:5" x14ac:dyDescent="0.3">
      <c r="A103" s="145" t="s">
        <v>369</v>
      </c>
      <c r="B103" t="str">
        <f t="shared" si="2"/>
        <v>Subdirección de Imprenta Distrital</v>
      </c>
      <c r="C103" t="str">
        <f t="shared" si="2"/>
        <v>No Aplica</v>
      </c>
      <c r="D103" t="s">
        <v>370</v>
      </c>
      <c r="E103" t="s">
        <v>332</v>
      </c>
    </row>
    <row r="104" spans="1:5" x14ac:dyDescent="0.3">
      <c r="A104" s="145">
        <v>49</v>
      </c>
      <c r="B104" t="str">
        <f t="shared" si="2"/>
        <v>Subdirección de Proyección Internacional</v>
      </c>
      <c r="C104" t="str">
        <f t="shared" si="2"/>
        <v>Internacionalización de Bogotá</v>
      </c>
      <c r="D104" t="s">
        <v>60</v>
      </c>
      <c r="E104" t="s">
        <v>353</v>
      </c>
    </row>
    <row r="105" spans="1:5" x14ac:dyDescent="0.3">
      <c r="A105" s="145">
        <v>22</v>
      </c>
      <c r="B105" t="str">
        <f t="shared" si="2"/>
        <v>Subdirección del Sistema Distrital de Archivos</v>
      </c>
      <c r="C105" t="str">
        <f t="shared" si="2"/>
        <v>Gestión de la Función Archivística y del patrimonio documental del Distrito Capital</v>
      </c>
      <c r="D105" t="s">
        <v>361</v>
      </c>
      <c r="E105" t="s">
        <v>362</v>
      </c>
    </row>
    <row r="106" spans="1:5" x14ac:dyDescent="0.3">
      <c r="A106" s="145">
        <v>21</v>
      </c>
      <c r="B106" t="str">
        <f t="shared" si="2"/>
        <v>Subdirección Técnica de Archivo</v>
      </c>
      <c r="C106" t="str">
        <f t="shared" si="2"/>
        <v>Gestión de la Función Archivística y del patrimonio documental del Distrito Capital</v>
      </c>
      <c r="D106" t="s">
        <v>361</v>
      </c>
      <c r="E106" t="s">
        <v>362</v>
      </c>
    </row>
    <row r="107" spans="1:5" x14ac:dyDescent="0.3">
      <c r="A107" s="145">
        <v>37</v>
      </c>
      <c r="B107" t="str">
        <f t="shared" si="2"/>
        <v>Subdirección Técnica de Desarrollo Institucional</v>
      </c>
      <c r="C107" t="str">
        <f t="shared" si="2"/>
        <v>No Aplica</v>
      </c>
      <c r="D107" t="s">
        <v>364</v>
      </c>
      <c r="E107" t="s">
        <v>353</v>
      </c>
    </row>
    <row r="108" spans="1:5" x14ac:dyDescent="0.3">
      <c r="A108" s="145" t="s">
        <v>371</v>
      </c>
      <c r="B108" t="str">
        <f t="shared" si="2"/>
        <v>Subdirección Técnica de Desarrollo Institucional</v>
      </c>
      <c r="C108" t="str">
        <f t="shared" si="2"/>
        <v>No Aplica</v>
      </c>
      <c r="D108" t="s">
        <v>364</v>
      </c>
      <c r="E108" t="s">
        <v>353</v>
      </c>
    </row>
    <row r="109" spans="1:5" x14ac:dyDescent="0.3">
      <c r="A109" s="145" t="s">
        <v>372</v>
      </c>
      <c r="B109" t="str">
        <f t="shared" si="2"/>
        <v>Subsecretaría Técnica</v>
      </c>
      <c r="C109" t="str">
        <f t="shared" si="2"/>
        <v>No Aplica</v>
      </c>
      <c r="D109" t="s">
        <v>373</v>
      </c>
      <c r="E109" t="s">
        <v>332</v>
      </c>
    </row>
    <row r="110" spans="1:5" x14ac:dyDescent="0.3">
      <c r="A110" s="145" t="s">
        <v>374</v>
      </c>
      <c r="B110" t="str">
        <f t="shared" ref="B110:C133" si="3">+VLOOKUP($A110,bd,MATCH(B$69,bdfila,0),0)</f>
        <v>Subsecretaría de Servicio a la Ciudadanía</v>
      </c>
      <c r="C110" t="str">
        <f t="shared" si="3"/>
        <v>Gestión de Políticas públicas Distritales</v>
      </c>
      <c r="D110" t="s">
        <v>375</v>
      </c>
      <c r="E110" t="s">
        <v>332</v>
      </c>
    </row>
    <row r="111" spans="1:5" x14ac:dyDescent="0.3">
      <c r="A111" s="145" t="s">
        <v>376</v>
      </c>
      <c r="B111" t="str">
        <f t="shared" si="3"/>
        <v>Subsecretaría de Servicio a la Ciudadanía</v>
      </c>
      <c r="C111" t="str">
        <f t="shared" si="3"/>
        <v>Gestión del Sistema Distrital de servicio a la ciudadanía</v>
      </c>
      <c r="D111" t="s">
        <v>375</v>
      </c>
      <c r="E111" t="s">
        <v>353</v>
      </c>
    </row>
    <row r="112" spans="1:5" x14ac:dyDescent="0.3">
      <c r="A112" s="145">
        <v>65</v>
      </c>
      <c r="B112" t="str">
        <f t="shared" si="3"/>
        <v>Dirección Distrital de Calidad del Servicio</v>
      </c>
      <c r="C112" t="str">
        <f t="shared" si="3"/>
        <v>Gestión del Sistema Distrital de servicio a la ciudadanía</v>
      </c>
      <c r="D112" t="s">
        <v>375</v>
      </c>
      <c r="E112" t="s">
        <v>353</v>
      </c>
    </row>
    <row r="113" spans="1:5" x14ac:dyDescent="0.3">
      <c r="A113" s="145">
        <v>66</v>
      </c>
      <c r="B113" t="str">
        <f t="shared" si="3"/>
        <v>Dirección Distrital de Calidad del Servicio</v>
      </c>
      <c r="C113" t="str">
        <f t="shared" si="3"/>
        <v>Gestión del Sistema Distrital de servicio a la ciudadanía</v>
      </c>
      <c r="D113" t="s">
        <v>375</v>
      </c>
      <c r="E113" t="s">
        <v>353</v>
      </c>
    </row>
    <row r="114" spans="1:5" x14ac:dyDescent="0.3">
      <c r="A114" s="145">
        <v>67</v>
      </c>
      <c r="B114" t="str">
        <f t="shared" si="3"/>
        <v>Dirección Distrital de Calidad del Servicio</v>
      </c>
      <c r="C114" t="str">
        <f t="shared" si="3"/>
        <v>Gestión del Sistema Distrital de servicio a la ciudadanía</v>
      </c>
      <c r="D114" t="s">
        <v>375</v>
      </c>
      <c r="E114" t="s">
        <v>353</v>
      </c>
    </row>
    <row r="115" spans="1:5" x14ac:dyDescent="0.3">
      <c r="A115" s="145">
        <v>69</v>
      </c>
      <c r="B115" t="str">
        <f t="shared" si="3"/>
        <v>Dirección Distrital de Calidad del Servicio</v>
      </c>
      <c r="C115" t="str">
        <f t="shared" si="3"/>
        <v>No Aplica</v>
      </c>
      <c r="D115" t="s">
        <v>375</v>
      </c>
      <c r="E115" t="s">
        <v>353</v>
      </c>
    </row>
    <row r="116" spans="1:5" x14ac:dyDescent="0.3">
      <c r="A116" s="145" t="s">
        <v>377</v>
      </c>
      <c r="B116" t="str">
        <f t="shared" si="3"/>
        <v>Dirección Distrital de Calidad del Servicio</v>
      </c>
      <c r="C116" t="str">
        <f t="shared" si="3"/>
        <v>Gestión del Sistema Distrital de servicio a la ciudadanía</v>
      </c>
      <c r="D116" t="s">
        <v>375</v>
      </c>
      <c r="E116" t="s">
        <v>353</v>
      </c>
    </row>
    <row r="117" spans="1:5" x14ac:dyDescent="0.3">
      <c r="A117" s="145" t="s">
        <v>378</v>
      </c>
      <c r="B117" t="str">
        <f t="shared" si="3"/>
        <v>Dirección Distrital de Calidad del Servicio</v>
      </c>
      <c r="C117" t="str">
        <f t="shared" si="3"/>
        <v>Gestión del Sistema Distrital de servicio a la ciudadanía</v>
      </c>
      <c r="D117" t="s">
        <v>375</v>
      </c>
      <c r="E117" t="s">
        <v>353</v>
      </c>
    </row>
    <row r="118" spans="1:5" x14ac:dyDescent="0.3">
      <c r="A118" s="145">
        <v>87</v>
      </c>
      <c r="B118" t="str">
        <f t="shared" si="3"/>
        <v>Subdirección de Seguimiento a la  Gestión de Inspección, Vigilancia y  Control</v>
      </c>
      <c r="C118" t="str">
        <f t="shared" si="3"/>
        <v>Gestión del Sistema Distrital de servicio a la ciudadanía</v>
      </c>
      <c r="D118" t="s">
        <v>375</v>
      </c>
      <c r="E118" t="s">
        <v>353</v>
      </c>
    </row>
    <row r="119" spans="1:5" x14ac:dyDescent="0.3">
      <c r="A119" s="145" t="s">
        <v>379</v>
      </c>
      <c r="B119" t="str">
        <f t="shared" si="3"/>
        <v>Subdirección de Seguimiento a la  Gestión de Inspección, Vigilancia y  Control</v>
      </c>
      <c r="C119" t="str">
        <f t="shared" si="3"/>
        <v>Gestión del Sistema Distrital de servicio a la ciudadanía</v>
      </c>
      <c r="D119" t="s">
        <v>375</v>
      </c>
      <c r="E119" t="s">
        <v>353</v>
      </c>
    </row>
    <row r="120" spans="1:5" x14ac:dyDescent="0.3">
      <c r="A120" s="225">
        <v>90</v>
      </c>
      <c r="B120" t="str">
        <f t="shared" si="3"/>
        <v>Subsecretaría Corporativa</v>
      </c>
      <c r="C120" t="str">
        <f t="shared" si="3"/>
        <v>Contratación</v>
      </c>
      <c r="D120" t="s">
        <v>380</v>
      </c>
      <c r="E120" t="s">
        <v>362</v>
      </c>
    </row>
    <row r="121" spans="1:5" x14ac:dyDescent="0.3">
      <c r="A121" s="225">
        <v>101</v>
      </c>
      <c r="B121" t="str">
        <f t="shared" si="3"/>
        <v>Dirección de Talento Humano</v>
      </c>
      <c r="C121" t="str">
        <f t="shared" si="3"/>
        <v>Gestión de seguridad y Salud en el trabajo</v>
      </c>
      <c r="D121" t="s">
        <v>381</v>
      </c>
      <c r="E121" t="s">
        <v>362</v>
      </c>
    </row>
    <row r="122" spans="1:5" x14ac:dyDescent="0.3">
      <c r="A122" s="225" t="s">
        <v>382</v>
      </c>
      <c r="B122" t="str">
        <f t="shared" si="3"/>
        <v>Dirección de Talento Humano</v>
      </c>
      <c r="C122" t="str">
        <f t="shared" si="3"/>
        <v>Gestión Estratégica del Talento Humano</v>
      </c>
      <c r="D122" t="s">
        <v>381</v>
      </c>
      <c r="E122" t="s">
        <v>362</v>
      </c>
    </row>
    <row r="123" spans="1:5" x14ac:dyDescent="0.3">
      <c r="A123" s="225">
        <v>120</v>
      </c>
      <c r="B123" t="str">
        <f t="shared" si="3"/>
        <v>Dirección Administrativa y Financiera</v>
      </c>
      <c r="C123" t="str">
        <f t="shared" si="3"/>
        <v>Gestión de Servicios Administrativos</v>
      </c>
      <c r="D123" t="s">
        <v>383</v>
      </c>
      <c r="E123" t="s">
        <v>347</v>
      </c>
    </row>
    <row r="124" spans="1:5" x14ac:dyDescent="0.3">
      <c r="A124" s="225" t="s">
        <v>384</v>
      </c>
      <c r="B124" t="str">
        <f t="shared" si="3"/>
        <v>Dirección Administrativa y Financiera</v>
      </c>
      <c r="C124" t="str">
        <f t="shared" si="3"/>
        <v>Gestión de Servicios Administrativos</v>
      </c>
      <c r="D124" t="s">
        <v>383</v>
      </c>
      <c r="E124" t="s">
        <v>347</v>
      </c>
    </row>
    <row r="125" spans="1:5" x14ac:dyDescent="0.3">
      <c r="A125" s="225">
        <v>126</v>
      </c>
      <c r="B125" t="str">
        <f t="shared" si="3"/>
        <v>Subdirección de Servicios Administrativos</v>
      </c>
      <c r="C125" t="str">
        <f t="shared" si="3"/>
        <v>Gestión Documental Interna</v>
      </c>
      <c r="D125" t="s">
        <v>385</v>
      </c>
      <c r="E125" t="s">
        <v>347</v>
      </c>
    </row>
    <row r="126" spans="1:5" x14ac:dyDescent="0.3">
      <c r="A126" s="225">
        <v>128</v>
      </c>
      <c r="B126" t="str">
        <f t="shared" si="3"/>
        <v>Subdirección de Servicios Administrativos</v>
      </c>
      <c r="C126" t="str">
        <f t="shared" si="3"/>
        <v>Gestión de Recursos Físicos</v>
      </c>
      <c r="D126" t="s">
        <v>386</v>
      </c>
      <c r="E126" t="s">
        <v>332</v>
      </c>
    </row>
    <row r="127" spans="1:5" x14ac:dyDescent="0.3">
      <c r="A127" s="225">
        <v>129</v>
      </c>
      <c r="B127" t="str">
        <f t="shared" si="3"/>
        <v>Subdirección de Servicios Administrativos</v>
      </c>
      <c r="C127" t="str">
        <f t="shared" si="3"/>
        <v>Gestión de Recursos Físicos</v>
      </c>
      <c r="D127" t="s">
        <v>386</v>
      </c>
      <c r="E127" t="s">
        <v>332</v>
      </c>
    </row>
    <row r="128" spans="1:5" x14ac:dyDescent="0.3">
      <c r="A128" s="225">
        <v>130</v>
      </c>
      <c r="B128" t="str">
        <f t="shared" si="3"/>
        <v>Subdirección de Servicios Administrativos</v>
      </c>
      <c r="C128" t="str">
        <f t="shared" si="3"/>
        <v>Gestión de Servicios Administrativos</v>
      </c>
      <c r="D128" t="s">
        <v>383</v>
      </c>
      <c r="E128" t="s">
        <v>347</v>
      </c>
    </row>
    <row r="129" spans="1:5" x14ac:dyDescent="0.3">
      <c r="A129" s="225" t="s">
        <v>387</v>
      </c>
      <c r="B129" t="str">
        <f t="shared" si="3"/>
        <v>Subdirección Financiera</v>
      </c>
      <c r="C129" t="str">
        <f t="shared" si="3"/>
        <v>No Aplica</v>
      </c>
      <c r="D129" t="s">
        <v>388</v>
      </c>
      <c r="E129" t="s">
        <v>344</v>
      </c>
    </row>
    <row r="130" spans="1:5" x14ac:dyDescent="0.3">
      <c r="A130" s="225">
        <v>122</v>
      </c>
      <c r="B130" t="str">
        <f t="shared" si="3"/>
        <v>Subdirección Financiera</v>
      </c>
      <c r="C130" t="str">
        <f t="shared" si="3"/>
        <v>Gestión Financiera</v>
      </c>
      <c r="D130" t="s">
        <v>388</v>
      </c>
      <c r="E130" t="s">
        <v>344</v>
      </c>
    </row>
    <row r="131" spans="1:5" x14ac:dyDescent="0.3">
      <c r="A131" s="225">
        <v>124</v>
      </c>
      <c r="B131" t="str">
        <f t="shared" si="3"/>
        <v>Subdirección Financiera</v>
      </c>
      <c r="C131" t="str">
        <f t="shared" si="3"/>
        <v>Gestión Financiera</v>
      </c>
      <c r="D131" t="s">
        <v>388</v>
      </c>
      <c r="E131" t="s">
        <v>344</v>
      </c>
    </row>
    <row r="132" spans="1:5" x14ac:dyDescent="0.3">
      <c r="A132" s="225">
        <v>125</v>
      </c>
      <c r="B132" t="str">
        <f t="shared" si="3"/>
        <v>Subdirección Financiera</v>
      </c>
      <c r="C132" t="str">
        <f t="shared" si="3"/>
        <v>Gestión Financiera</v>
      </c>
      <c r="D132" t="s">
        <v>388</v>
      </c>
      <c r="E132" t="s">
        <v>344</v>
      </c>
    </row>
    <row r="133" spans="1:5" x14ac:dyDescent="0.3">
      <c r="A133" s="225" t="s">
        <v>389</v>
      </c>
      <c r="B133" t="str">
        <f t="shared" si="3"/>
        <v>Subdirección Financiera</v>
      </c>
      <c r="C133" t="str">
        <f t="shared" si="3"/>
        <v>Gestión Financiera</v>
      </c>
      <c r="D133" t="s">
        <v>388</v>
      </c>
      <c r="E133" t="s">
        <v>344</v>
      </c>
    </row>
    <row r="144" spans="1:5" x14ac:dyDescent="0.3">
      <c r="A144" s="137" t="s">
        <v>390</v>
      </c>
    </row>
    <row r="145" spans="1:1" x14ac:dyDescent="0.3">
      <c r="A145" t="s">
        <v>134</v>
      </c>
    </row>
    <row r="146" spans="1:1" x14ac:dyDescent="0.3">
      <c r="A146" t="s">
        <v>195</v>
      </c>
    </row>
    <row r="147" spans="1:1" x14ac:dyDescent="0.3">
      <c r="A147" t="s">
        <v>93</v>
      </c>
    </row>
    <row r="148" spans="1:1" x14ac:dyDescent="0.3">
      <c r="A148" t="s">
        <v>183</v>
      </c>
    </row>
    <row r="149" spans="1:1" x14ac:dyDescent="0.3">
      <c r="A149" t="s">
        <v>99</v>
      </c>
    </row>
    <row r="150" spans="1:1" x14ac:dyDescent="0.3">
      <c r="A150" t="s">
        <v>56</v>
      </c>
    </row>
    <row r="151" spans="1:1" x14ac:dyDescent="0.3">
      <c r="A151" t="s">
        <v>70</v>
      </c>
    </row>
    <row r="152" spans="1:1" x14ac:dyDescent="0.3">
      <c r="A152" t="s">
        <v>146</v>
      </c>
    </row>
    <row r="153" spans="1:1" x14ac:dyDescent="0.3">
      <c r="A153" t="s">
        <v>155</v>
      </c>
    </row>
    <row r="154" spans="1:1" x14ac:dyDescent="0.3">
      <c r="A154" t="s">
        <v>105</v>
      </c>
    </row>
    <row r="155" spans="1:1" x14ac:dyDescent="0.3">
      <c r="A155" t="s">
        <v>140</v>
      </c>
    </row>
    <row r="156" spans="1:1" x14ac:dyDescent="0.3">
      <c r="A156" t="s">
        <v>159</v>
      </c>
    </row>
    <row r="157" spans="1:1" x14ac:dyDescent="0.3">
      <c r="A157" t="s">
        <v>163</v>
      </c>
    </row>
    <row r="158" spans="1:1" x14ac:dyDescent="0.3">
      <c r="A158" t="s">
        <v>167</v>
      </c>
    </row>
    <row r="159" spans="1:1" x14ac:dyDescent="0.3">
      <c r="A159" t="s">
        <v>39</v>
      </c>
    </row>
    <row r="160" spans="1:1" x14ac:dyDescent="0.3">
      <c r="A160" t="s">
        <v>111</v>
      </c>
    </row>
    <row r="161" spans="1:1" x14ac:dyDescent="0.3">
      <c r="A161" t="s">
        <v>171</v>
      </c>
    </row>
    <row r="162" spans="1:1" x14ac:dyDescent="0.3">
      <c r="A162" t="s">
        <v>187</v>
      </c>
    </row>
    <row r="163" spans="1:1" x14ac:dyDescent="0.3">
      <c r="A163" t="s">
        <v>117</v>
      </c>
    </row>
    <row r="164" spans="1:1" x14ac:dyDescent="0.3">
      <c r="A164" t="s">
        <v>175</v>
      </c>
    </row>
    <row r="165" spans="1:1" x14ac:dyDescent="0.3">
      <c r="A165" t="s">
        <v>191</v>
      </c>
    </row>
    <row r="166" spans="1:1" x14ac:dyDescent="0.3">
      <c r="A166" t="s">
        <v>179</v>
      </c>
    </row>
    <row r="167" spans="1:1" x14ac:dyDescent="0.3">
      <c r="A167" t="s">
        <v>199</v>
      </c>
    </row>
    <row r="168" spans="1:1" x14ac:dyDescent="0.3">
      <c r="A168" t="s">
        <v>122</v>
      </c>
    </row>
    <row r="169" spans="1:1" x14ac:dyDescent="0.3">
      <c r="A169" t="s">
        <v>152</v>
      </c>
    </row>
    <row r="170" spans="1:1" x14ac:dyDescent="0.3">
      <c r="A170" t="s">
        <v>127</v>
      </c>
    </row>
    <row r="171" spans="1:1" x14ac:dyDescent="0.3">
      <c r="A171" t="s">
        <v>83</v>
      </c>
    </row>
  </sheetData>
  <sheetProtection algorithmName="SHA-512" hashValue="U2/F5i6fV9pHlhWszu4bxFvw5YD1uXZTe3hTkiv0S5/UxXyt4wXW4yNdS/DWHfTsTYmUjT4PU9tbk74Csm5GMA==" saltValue="lEiQpHpf+LH1SmgD4LmU3A==" spinCount="100000" sheet="1" objects="1" scenarios="1"/>
  <autoFilter ref="A144:A171" xr:uid="{00000000-0009-0000-0000-000002000000}">
    <sortState xmlns:xlrd2="http://schemas.microsoft.com/office/spreadsheetml/2017/richdata2" ref="A140:A166">
      <sortCondition ref="A139:A166"/>
    </sortState>
  </autoFilter>
  <mergeCells count="1">
    <mergeCell ref="P2:X2"/>
  </mergeCells>
  <conditionalFormatting sqref="A4:A15 A33:A34">
    <cfRule type="duplicateValues" dxfId="47" priority="4"/>
  </conditionalFormatting>
  <conditionalFormatting sqref="A16:C30">
    <cfRule type="duplicateValues" dxfId="46" priority="3"/>
  </conditionalFormatting>
  <conditionalFormatting sqref="A145:A156">
    <cfRule type="duplicateValues" dxfId="45" priority="2"/>
  </conditionalFormatting>
  <conditionalFormatting sqref="A157:A171">
    <cfRule type="duplicateValues" dxfId="44" priority="1"/>
  </conditionalFormatting>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3:DY69"/>
  <sheetViews>
    <sheetView workbookViewId="0"/>
  </sheetViews>
  <sheetFormatPr baseColWidth="10" defaultColWidth="11.44140625" defaultRowHeight="14.4" x14ac:dyDescent="0.3"/>
  <cols>
    <col min="1" max="1" width="9.33203125" customWidth="1"/>
    <col min="2" max="2" width="33.109375" customWidth="1"/>
    <col min="6" max="6" width="11.44140625" style="208"/>
    <col min="7" max="7" width="14.33203125" bestFit="1" customWidth="1"/>
    <col min="11" max="11" width="16.6640625" bestFit="1" customWidth="1"/>
    <col min="12" max="12" width="13.88671875" bestFit="1" customWidth="1"/>
    <col min="20" max="20" width="11.44140625" customWidth="1"/>
    <col min="23" max="23" width="11.44140625" customWidth="1"/>
    <col min="57" max="86" width="11.44140625" style="129"/>
    <col min="87" max="87" width="11.88671875" bestFit="1" customWidth="1"/>
  </cols>
  <sheetData>
    <row r="3" spans="1:129" x14ac:dyDescent="0.3">
      <c r="Y3" t="s">
        <v>391</v>
      </c>
      <c r="Z3" t="s">
        <v>391</v>
      </c>
      <c r="AA3" t="s">
        <v>391</v>
      </c>
      <c r="AB3" t="s">
        <v>391</v>
      </c>
      <c r="AC3" t="s">
        <v>391</v>
      </c>
      <c r="AD3" t="s">
        <v>392</v>
      </c>
      <c r="AE3" t="s">
        <v>392</v>
      </c>
      <c r="AF3" t="s">
        <v>392</v>
      </c>
      <c r="AG3" t="s">
        <v>392</v>
      </c>
      <c r="AH3" t="s">
        <v>392</v>
      </c>
      <c r="AI3" t="s">
        <v>393</v>
      </c>
      <c r="AJ3" t="s">
        <v>393</v>
      </c>
      <c r="AK3" t="s">
        <v>393</v>
      </c>
      <c r="AL3" t="s">
        <v>393</v>
      </c>
      <c r="AM3" t="s">
        <v>393</v>
      </c>
      <c r="AN3" t="s">
        <v>394</v>
      </c>
      <c r="AO3" t="s">
        <v>394</v>
      </c>
      <c r="AP3" t="s">
        <v>394</v>
      </c>
      <c r="AQ3" t="s">
        <v>394</v>
      </c>
      <c r="AR3" t="s">
        <v>394</v>
      </c>
      <c r="AS3" t="s">
        <v>395</v>
      </c>
      <c r="AT3" t="s">
        <v>395</v>
      </c>
      <c r="AU3" t="s">
        <v>395</v>
      </c>
      <c r="AV3" t="s">
        <v>395</v>
      </c>
      <c r="AW3" t="s">
        <v>395</v>
      </c>
      <c r="AX3" t="s">
        <v>396</v>
      </c>
      <c r="AY3" t="s">
        <v>396</v>
      </c>
      <c r="AZ3" t="s">
        <v>396</v>
      </c>
      <c r="BA3" t="s">
        <v>396</v>
      </c>
      <c r="BB3" t="s">
        <v>396</v>
      </c>
      <c r="BE3" s="129" t="s">
        <v>391</v>
      </c>
      <c r="BF3" s="129" t="s">
        <v>391</v>
      </c>
      <c r="BG3" s="129" t="s">
        <v>391</v>
      </c>
      <c r="BH3" s="129" t="s">
        <v>391</v>
      </c>
      <c r="BI3" s="129" t="s">
        <v>391</v>
      </c>
      <c r="BJ3" s="129" t="s">
        <v>392</v>
      </c>
      <c r="BK3" s="129" t="s">
        <v>392</v>
      </c>
      <c r="BL3" s="129" t="s">
        <v>392</v>
      </c>
      <c r="BM3" s="129" t="s">
        <v>392</v>
      </c>
      <c r="BN3" s="129" t="s">
        <v>392</v>
      </c>
      <c r="BO3" s="129" t="s">
        <v>393</v>
      </c>
      <c r="BP3" s="129" t="s">
        <v>393</v>
      </c>
      <c r="BQ3" s="129" t="s">
        <v>393</v>
      </c>
      <c r="BR3" s="129" t="s">
        <v>393</v>
      </c>
      <c r="BS3" s="129" t="s">
        <v>393</v>
      </c>
      <c r="BT3" s="129" t="s">
        <v>394</v>
      </c>
      <c r="BU3" s="129" t="s">
        <v>394</v>
      </c>
      <c r="BV3" s="129" t="s">
        <v>394</v>
      </c>
      <c r="BW3" s="129" t="s">
        <v>394</v>
      </c>
      <c r="BX3" s="129" t="s">
        <v>394</v>
      </c>
      <c r="BY3" s="129" t="s">
        <v>395</v>
      </c>
      <c r="BZ3" s="129" t="s">
        <v>395</v>
      </c>
      <c r="CA3" s="129" t="s">
        <v>395</v>
      </c>
      <c r="CB3" s="129" t="s">
        <v>395</v>
      </c>
      <c r="CC3" s="129" t="s">
        <v>395</v>
      </c>
    </row>
    <row r="4" spans="1:129" x14ac:dyDescent="0.3">
      <c r="F4" s="209"/>
      <c r="K4" s="469" t="s">
        <v>397</v>
      </c>
      <c r="L4" s="469"/>
      <c r="M4" s="469"/>
      <c r="N4" s="469"/>
      <c r="O4" s="469"/>
      <c r="P4" s="469"/>
      <c r="Q4" s="469"/>
      <c r="R4" s="469"/>
      <c r="S4" s="469"/>
      <c r="T4" s="469"/>
      <c r="U4" s="469"/>
      <c r="V4" s="469"/>
      <c r="W4" s="469"/>
      <c r="X4" s="469"/>
      <c r="Y4" t="s">
        <v>398</v>
      </c>
      <c r="Z4" t="s">
        <v>399</v>
      </c>
      <c r="AA4" t="s">
        <v>400</v>
      </c>
      <c r="AB4" t="s">
        <v>401</v>
      </c>
      <c r="AC4" t="s">
        <v>402</v>
      </c>
      <c r="AD4" t="s">
        <v>398</v>
      </c>
      <c r="AE4" t="s">
        <v>399</v>
      </c>
      <c r="AF4" t="s">
        <v>400</v>
      </c>
      <c r="AG4" t="s">
        <v>401</v>
      </c>
      <c r="AH4" t="s">
        <v>402</v>
      </c>
      <c r="AI4" t="s">
        <v>398</v>
      </c>
      <c r="AJ4" t="s">
        <v>399</v>
      </c>
      <c r="AK4" t="s">
        <v>400</v>
      </c>
      <c r="AL4" t="s">
        <v>401</v>
      </c>
      <c r="AM4" t="s">
        <v>402</v>
      </c>
      <c r="AN4" t="s">
        <v>398</v>
      </c>
      <c r="AO4" t="s">
        <v>399</v>
      </c>
      <c r="AP4" t="s">
        <v>400</v>
      </c>
      <c r="AQ4" t="s">
        <v>401</v>
      </c>
      <c r="AR4" t="s">
        <v>402</v>
      </c>
      <c r="AS4" t="s">
        <v>398</v>
      </c>
      <c r="AT4" t="s">
        <v>399</v>
      </c>
      <c r="AU4" t="s">
        <v>400</v>
      </c>
      <c r="AV4" t="s">
        <v>401</v>
      </c>
      <c r="AW4" t="s">
        <v>402</v>
      </c>
      <c r="AX4" t="s">
        <v>398</v>
      </c>
      <c r="AY4" t="s">
        <v>399</v>
      </c>
      <c r="AZ4" t="s">
        <v>400</v>
      </c>
      <c r="BA4" t="s">
        <v>401</v>
      </c>
      <c r="BB4" t="s">
        <v>402</v>
      </c>
      <c r="BC4" t="s">
        <v>398</v>
      </c>
      <c r="BD4" t="s">
        <v>399</v>
      </c>
      <c r="BE4" s="129" t="s">
        <v>403</v>
      </c>
      <c r="BF4" s="129" t="s">
        <v>404</v>
      </c>
      <c r="BG4" s="129" t="s">
        <v>405</v>
      </c>
      <c r="BH4" s="129" t="s">
        <v>406</v>
      </c>
      <c r="BI4" s="129" t="s">
        <v>407</v>
      </c>
      <c r="BJ4" s="129" t="s">
        <v>403</v>
      </c>
      <c r="BK4" s="129" t="s">
        <v>404</v>
      </c>
      <c r="BL4" s="129" t="s">
        <v>405</v>
      </c>
      <c r="BM4" s="129" t="s">
        <v>406</v>
      </c>
      <c r="BN4" s="129" t="s">
        <v>407</v>
      </c>
      <c r="BO4" s="129" t="s">
        <v>403</v>
      </c>
      <c r="BP4" s="129" t="s">
        <v>404</v>
      </c>
      <c r="BQ4" s="129" t="s">
        <v>405</v>
      </c>
      <c r="BR4" s="129" t="s">
        <v>406</v>
      </c>
      <c r="BS4" s="129" t="s">
        <v>407</v>
      </c>
      <c r="BT4" s="129" t="s">
        <v>403</v>
      </c>
      <c r="BU4" s="129" t="s">
        <v>404</v>
      </c>
      <c r="BV4" s="129" t="s">
        <v>405</v>
      </c>
      <c r="BW4" s="129" t="s">
        <v>406</v>
      </c>
      <c r="BX4" s="129" t="s">
        <v>407</v>
      </c>
      <c r="BY4" s="129" t="s">
        <v>403</v>
      </c>
      <c r="BZ4" s="129" t="s">
        <v>404</v>
      </c>
      <c r="CA4" s="129" t="s">
        <v>405</v>
      </c>
      <c r="CB4" s="129" t="s">
        <v>406</v>
      </c>
      <c r="CC4" s="129" t="s">
        <v>407</v>
      </c>
      <c r="CD4" s="129" t="s">
        <v>403</v>
      </c>
      <c r="CE4" s="129" t="s">
        <v>404</v>
      </c>
      <c r="CF4" s="129" t="s">
        <v>405</v>
      </c>
      <c r="CG4" s="129" t="s">
        <v>406</v>
      </c>
      <c r="CH4" s="129" t="s">
        <v>407</v>
      </c>
      <c r="CI4">
        <v>5</v>
      </c>
      <c r="CJ4">
        <v>6</v>
      </c>
      <c r="CK4">
        <v>7</v>
      </c>
      <c r="CL4">
        <v>8</v>
      </c>
      <c r="CM4">
        <v>9</v>
      </c>
      <c r="CN4">
        <v>10</v>
      </c>
      <c r="CO4">
        <v>11</v>
      </c>
      <c r="CP4">
        <v>12</v>
      </c>
      <c r="CQ4">
        <v>13</v>
      </c>
      <c r="CR4">
        <v>14</v>
      </c>
      <c r="CS4">
        <v>15</v>
      </c>
      <c r="CT4">
        <v>16</v>
      </c>
      <c r="CU4">
        <v>17</v>
      </c>
      <c r="CV4">
        <v>18</v>
      </c>
      <c r="CW4">
        <v>19</v>
      </c>
      <c r="CX4">
        <v>20</v>
      </c>
      <c r="CY4">
        <v>21</v>
      </c>
      <c r="CZ4">
        <v>22</v>
      </c>
      <c r="DA4">
        <v>23</v>
      </c>
      <c r="DB4">
        <v>24</v>
      </c>
      <c r="DC4">
        <v>25</v>
      </c>
      <c r="DD4">
        <v>26</v>
      </c>
      <c r="DE4">
        <v>27</v>
      </c>
      <c r="DF4">
        <v>28</v>
      </c>
      <c r="DG4">
        <v>29</v>
      </c>
      <c r="DH4">
        <v>30</v>
      </c>
      <c r="DI4">
        <v>31</v>
      </c>
      <c r="DJ4">
        <v>32</v>
      </c>
      <c r="DK4">
        <v>33</v>
      </c>
      <c r="DL4">
        <v>34</v>
      </c>
      <c r="DM4">
        <v>35</v>
      </c>
      <c r="DN4">
        <v>36</v>
      </c>
      <c r="DO4">
        <v>37</v>
      </c>
      <c r="DP4">
        <v>38</v>
      </c>
      <c r="DQ4">
        <v>39</v>
      </c>
      <c r="DR4">
        <v>40</v>
      </c>
      <c r="DS4">
        <v>41</v>
      </c>
      <c r="DT4">
        <v>42</v>
      </c>
      <c r="DU4">
        <v>43</v>
      </c>
      <c r="DV4">
        <v>44</v>
      </c>
      <c r="DW4">
        <v>45</v>
      </c>
      <c r="DX4">
        <v>46</v>
      </c>
    </row>
    <row r="5" spans="1:129" x14ac:dyDescent="0.3">
      <c r="A5" s="21" t="s">
        <v>408</v>
      </c>
      <c r="B5" t="s">
        <v>409</v>
      </c>
      <c r="C5" t="s">
        <v>410</v>
      </c>
      <c r="D5" t="s">
        <v>326</v>
      </c>
      <c r="E5" t="s">
        <v>411</v>
      </c>
      <c r="F5" s="210" t="s">
        <v>408</v>
      </c>
      <c r="G5" t="s">
        <v>412</v>
      </c>
      <c r="H5" t="s">
        <v>413</v>
      </c>
      <c r="I5" t="s">
        <v>414</v>
      </c>
      <c r="J5" t="s">
        <v>415</v>
      </c>
      <c r="K5" t="s">
        <v>416</v>
      </c>
      <c r="L5" t="s">
        <v>417</v>
      </c>
      <c r="M5" t="s">
        <v>418</v>
      </c>
      <c r="N5" t="s">
        <v>419</v>
      </c>
      <c r="O5" t="s">
        <v>420</v>
      </c>
      <c r="P5" t="s">
        <v>421</v>
      </c>
      <c r="Q5" t="s">
        <v>422</v>
      </c>
      <c r="R5" t="s">
        <v>423</v>
      </c>
      <c r="S5" t="s">
        <v>424</v>
      </c>
      <c r="T5" t="s">
        <v>425</v>
      </c>
      <c r="U5" t="s">
        <v>426</v>
      </c>
      <c r="V5" t="s">
        <v>427</v>
      </c>
      <c r="W5" t="s">
        <v>428</v>
      </c>
      <c r="X5" t="s">
        <v>429</v>
      </c>
      <c r="Y5" t="s">
        <v>430</v>
      </c>
      <c r="Z5" t="s">
        <v>431</v>
      </c>
      <c r="AA5" t="s">
        <v>432</v>
      </c>
      <c r="AB5" t="s">
        <v>433</v>
      </c>
      <c r="AC5" t="s">
        <v>434</v>
      </c>
      <c r="AD5" t="s">
        <v>435</v>
      </c>
      <c r="AE5" t="s">
        <v>436</v>
      </c>
      <c r="AF5" t="s">
        <v>437</v>
      </c>
      <c r="AG5" t="s">
        <v>438</v>
      </c>
      <c r="AH5" t="s">
        <v>439</v>
      </c>
      <c r="AI5" t="s">
        <v>440</v>
      </c>
      <c r="AJ5" t="s">
        <v>441</v>
      </c>
      <c r="AK5" t="s">
        <v>442</v>
      </c>
      <c r="AL5" t="s">
        <v>443</v>
      </c>
      <c r="AM5" t="s">
        <v>444</v>
      </c>
      <c r="AN5" t="s">
        <v>445</v>
      </c>
      <c r="AO5" t="s">
        <v>446</v>
      </c>
      <c r="AP5" t="s">
        <v>447</v>
      </c>
      <c r="AQ5" t="s">
        <v>448</v>
      </c>
      <c r="AR5" t="s">
        <v>449</v>
      </c>
      <c r="AS5" t="s">
        <v>450</v>
      </c>
      <c r="AT5" t="s">
        <v>451</v>
      </c>
      <c r="AU5" t="s">
        <v>452</v>
      </c>
      <c r="AV5" t="s">
        <v>453</v>
      </c>
      <c r="AW5" t="s">
        <v>454</v>
      </c>
      <c r="AX5" t="s">
        <v>455</v>
      </c>
      <c r="AY5" t="s">
        <v>456</v>
      </c>
      <c r="AZ5" t="s">
        <v>457</v>
      </c>
      <c r="BA5" t="s">
        <v>458</v>
      </c>
      <c r="BB5" t="s">
        <v>459</v>
      </c>
      <c r="BC5" t="s">
        <v>460</v>
      </c>
      <c r="BD5" t="s">
        <v>461</v>
      </c>
      <c r="BE5" s="129" t="s">
        <v>462</v>
      </c>
      <c r="BF5" s="129" t="s">
        <v>463</v>
      </c>
      <c r="BG5" s="129" t="s">
        <v>464</v>
      </c>
      <c r="BH5" s="129" t="s">
        <v>465</v>
      </c>
      <c r="BI5" s="129" t="s">
        <v>466</v>
      </c>
      <c r="BJ5" s="129" t="s">
        <v>467</v>
      </c>
      <c r="BK5" s="129" t="s">
        <v>468</v>
      </c>
      <c r="BL5" s="129" t="s">
        <v>469</v>
      </c>
      <c r="BM5" s="129" t="s">
        <v>470</v>
      </c>
      <c r="BN5" s="129" t="s">
        <v>471</v>
      </c>
      <c r="BO5" s="129" t="s">
        <v>472</v>
      </c>
      <c r="BP5" s="129" t="s">
        <v>473</v>
      </c>
      <c r="BQ5" s="129" t="s">
        <v>474</v>
      </c>
      <c r="BR5" s="129" t="s">
        <v>475</v>
      </c>
      <c r="BS5" s="129" t="s">
        <v>476</v>
      </c>
      <c r="BT5" s="129" t="s">
        <v>477</v>
      </c>
      <c r="BU5" s="129" t="s">
        <v>478</v>
      </c>
      <c r="BV5" s="129" t="s">
        <v>479</v>
      </c>
      <c r="BW5" s="129" t="s">
        <v>480</v>
      </c>
      <c r="BX5" s="129" t="s">
        <v>481</v>
      </c>
      <c r="BY5" s="129" t="s">
        <v>482</v>
      </c>
      <c r="BZ5" s="129" t="s">
        <v>483</v>
      </c>
      <c r="CA5" s="129" t="s">
        <v>484</v>
      </c>
      <c r="CB5" s="129" t="s">
        <v>485</v>
      </c>
      <c r="CC5" s="129" t="s">
        <v>486</v>
      </c>
      <c r="CD5" s="129" t="s">
        <v>487</v>
      </c>
      <c r="CE5" s="129" t="s">
        <v>488</v>
      </c>
      <c r="CF5" s="129" t="s">
        <v>489</v>
      </c>
      <c r="CG5" s="129" t="s">
        <v>490</v>
      </c>
      <c r="CH5" s="129" t="s">
        <v>491</v>
      </c>
      <c r="CI5" t="s">
        <v>492</v>
      </c>
      <c r="CJ5" t="s">
        <v>493</v>
      </c>
      <c r="CK5" t="s">
        <v>494</v>
      </c>
      <c r="CL5" t="s">
        <v>495</v>
      </c>
      <c r="CM5" t="s">
        <v>496</v>
      </c>
      <c r="CN5" t="s">
        <v>497</v>
      </c>
      <c r="CO5" t="s">
        <v>498</v>
      </c>
      <c r="CP5" t="s">
        <v>499</v>
      </c>
      <c r="CQ5" t="s">
        <v>500</v>
      </c>
      <c r="CR5" t="s">
        <v>501</v>
      </c>
      <c r="CS5" t="s">
        <v>502</v>
      </c>
      <c r="CT5" t="s">
        <v>503</v>
      </c>
      <c r="CU5" t="s">
        <v>504</v>
      </c>
      <c r="CV5" t="s">
        <v>505</v>
      </c>
      <c r="CW5" t="s">
        <v>506</v>
      </c>
      <c r="CX5" t="s">
        <v>507</v>
      </c>
      <c r="CY5" t="s">
        <v>508</v>
      </c>
      <c r="CZ5" t="s">
        <v>509</v>
      </c>
      <c r="DA5" t="s">
        <v>510</v>
      </c>
      <c r="DB5" t="s">
        <v>511</v>
      </c>
      <c r="DC5" t="s">
        <v>512</v>
      </c>
      <c r="DD5" t="s">
        <v>513</v>
      </c>
      <c r="DE5" t="s">
        <v>514</v>
      </c>
      <c r="DF5" t="s">
        <v>515</v>
      </c>
      <c r="DG5" t="s">
        <v>516</v>
      </c>
      <c r="DH5" t="s">
        <v>517</v>
      </c>
      <c r="DI5" t="s">
        <v>518</v>
      </c>
      <c r="DJ5" t="s">
        <v>519</v>
      </c>
      <c r="DK5" t="s">
        <v>520</v>
      </c>
      <c r="DL5" t="s">
        <v>521</v>
      </c>
      <c r="DM5" t="s">
        <v>522</v>
      </c>
      <c r="DN5" t="s">
        <v>523</v>
      </c>
      <c r="DO5" t="s">
        <v>524</v>
      </c>
      <c r="DP5" t="s">
        <v>525</v>
      </c>
      <c r="DQ5" t="s">
        <v>526</v>
      </c>
      <c r="DR5" t="s">
        <v>527</v>
      </c>
      <c r="DS5" t="s">
        <v>528</v>
      </c>
      <c r="DT5" t="s">
        <v>529</v>
      </c>
      <c r="DU5" t="s">
        <v>530</v>
      </c>
      <c r="DV5" t="s">
        <v>531</v>
      </c>
      <c r="DW5" t="s">
        <v>532</v>
      </c>
      <c r="DX5" t="s">
        <v>533</v>
      </c>
      <c r="DY5" t="s">
        <v>533</v>
      </c>
    </row>
    <row r="6" spans="1:129" x14ac:dyDescent="0.3">
      <c r="A6" s="423" t="str">
        <f>+F6</f>
        <v>01_PAAC</v>
      </c>
      <c r="B6" t="str">
        <f>+C6&amp;"_"&amp;D6</f>
        <v>1_Oficina Asesora de Planeación</v>
      </c>
      <c r="C6">
        <f>+IF(D6=D5,C5+1,1)</f>
        <v>1</v>
      </c>
      <c r="D6" t="str">
        <f t="shared" ref="D6:D69" si="0">+VLOOKUP($F6,bd,MATCH(D$5,bdfila,0),0)</f>
        <v>Oficina Asesora de Planeación</v>
      </c>
      <c r="E6" t="str">
        <f t="shared" ref="E6:E58" si="1">+VLOOKUP(D6,responsables,8,0)</f>
        <v>oap</v>
      </c>
      <c r="F6" s="208" t="str">
        <f>+PAAC!C10</f>
        <v>01_PAAC</v>
      </c>
      <c r="G6" t="str">
        <f>+IFERROR(VLOOKUP($F6,bd,MATCH(G$5,bdfila,0),0),"")</f>
        <v>Constante</v>
      </c>
      <c r="H6" t="str">
        <f>+IFERROR(VLOOKUP($F6,bd,MATCH(H$5,bdfila,0),0),"")</f>
        <v>Porcentaje</v>
      </c>
      <c r="I6" t="str">
        <f>+IFERROR(VLOOKUP($F6,bd,MATCH(I$5,bdfila,0),0),"")</f>
        <v>No Disponible / No Aplica</v>
      </c>
      <c r="J6" t="str">
        <f t="shared" ref="G6:J26" si="2">+IFERROR(VLOOKUP($F6,bd,MATCH(J$5,bdfila,0),0),"")</f>
        <v>No Disponible / No Aplica</v>
      </c>
      <c r="K6" t="str">
        <f>+IFERROR(VLOOKUP($F6,PAAC_1,MATCH(K$5,PAAC!$C$9:$AA$9,0),0),"")</f>
        <v>Suma</v>
      </c>
      <c r="L6">
        <f>+IFERROR(VLOOKUP($F6,PAAC_1,MATCH(L$5,PAAC!$C$9:$AA$9,0),0),"")</f>
        <v>84</v>
      </c>
      <c r="M6">
        <f>+IFERROR(SUM(N6:P6),"")</f>
        <v>27</v>
      </c>
      <c r="N6">
        <f>+IFERROR(VLOOKUP($F6,PAAC_1,MATCH(N$5,PAAC!$C$9:$AA$9,0),0),"")</f>
        <v>15</v>
      </c>
      <c r="O6">
        <f>+IFERROR(VLOOKUP($F6,PAAC_1,MATCH(O$5,PAAC!$C$9:$AA$9,0),0),"")</f>
        <v>0</v>
      </c>
      <c r="P6">
        <f>+IFERROR(VLOOKUP($F6,PAAC_1,MATCH(P$5,PAAC!$C$9:$AA$9,0),0),"")</f>
        <v>12</v>
      </c>
      <c r="Q6">
        <f>+IFERROR(VLOOKUP($F6,PAAC_1,MATCH(Q$5,PAAC!$C$9:$AA$9,0),0),"")</f>
        <v>1</v>
      </c>
      <c r="R6">
        <f>+IFERROR(VLOOKUP($F6,PAAC_1,MATCH(R$5,PAAC!$C$9:$AA$9,0),0),"")</f>
        <v>13</v>
      </c>
      <c r="S6">
        <f>+IFERROR(VLOOKUP($F6,PAAC_1,MATCH(S$5,PAAC!$C$9:$AA$9,0),0),"")</f>
        <v>1</v>
      </c>
      <c r="T6">
        <f>+IFERROR(VLOOKUP($F6,PAAC_1,MATCH(T$5,PAAC!$C$9:$AA$9,0),0),"")</f>
        <v>100</v>
      </c>
      <c r="U6" t="str">
        <f>+IFERROR(VLOOKUP($F6,PAAC_1,MATCH(U$5,PAAC!$C$9:$AA$9,0),0),"")</f>
        <v>Este indicador mide el avance en la ejecución de las actividades programadas en la vigencia, para el Componente 1 del Plan Anticorrupción y Atención al Ciudadano en la Secretaria General de la Alcaldía Mayor de Bogotá D.C.</v>
      </c>
      <c r="V6" t="str">
        <f>+IFERROR(VLOOKUP($F6,PAAC_1,MATCH(V$5,PAAC!$C$9:$AA$9,0),0),"")</f>
        <v>Prestar apoyo técnico a las dependencias en lo relacionado con la formulación y el desarrollo de las actividades asociadas al componente 1 del Plan Anticorrupción y Atención al Ciudadano.
Hacer monitoreo y seguimiento a las dependencias responsables de la ejecución de las actividades programadas en el componenente 1 del Plan Anticorrupción y Atención al Ciudadano.</v>
      </c>
      <c r="W6" t="str">
        <f>+IFERROR(VLOOKUP($F6,PAAC_1,MATCH(W$5,PAAC!$C$9:$AA$9,0),0),"")</f>
        <v>Identificar, analizar y controlar los posibles hechos generadores de corrupción, tanto internos como externos, conforme a lo establecido en la "Guía para la administración del
riesgo y el diseño de controles en entidades públicas" y  el documento “Estrategias para la construcción del Plan Anticorrupción y de Atención al Ciudadano”</v>
      </c>
      <c r="X6" t="str">
        <f>+IFERROR(VLOOKUP($F6,PAAC_1,MATCH(X$5,PAAC!$C$9:$AA$9,0),0),"")</f>
        <v>Botón de transparencia de la página web de la Secretaría General
Informe de seguimiento y monitoreo al Mapa de Riesgos de Corrupción
Reportes de las dependencias</v>
      </c>
      <c r="Y6">
        <f>+IFERROR(IF(ISBLANK(VLOOKUP(CONCATENATE($F6,"_",Y$4),PAAC_2,MATCH(Y$3,PAAC!$E$19:$T$19,0),0)),"",VLOOKUP(CONCATENATE($F6,"_",Y$4),PAAC_2,MATCH(Y$3,PAAC!$E$19:$T$19,0),0)),"")</f>
        <v>15</v>
      </c>
      <c r="Z6">
        <f>+IFERROR(IF(ISBLANK(VLOOKUP(CONCATENATE($F6,"_",Z$4),PAAC_2,MATCH(Z$3,PAAC!$E$19:$T$19,0),0)),"",VLOOKUP(CONCATENATE($F6,"_",Z$4),PAAC_2,MATCH(Z$3,PAAC!$E$19:$T$19,0),0)),"")</f>
        <v>15</v>
      </c>
      <c r="AA6" t="str">
        <f>+IFERROR(IF(ISBLANK(VLOOKUP(CONCATENATE($F6,"_",AA$4),PAAC_2,MATCH(AA$3,PAAC!$E$19:$T$19,0),0)),"",VLOOKUP(CONCATENATE($F6,"_",AA$4),PAAC_2,MATCH(AA$3,PAAC!$E$19:$T$19,0),0)),"")</f>
        <v>La ejecución se ha venido realizando conforme a la programación establecida con el ánimo de gestionar los riesgos de corrupción en la entidad. Se destacaron las actividades como: Publicación del Plan Anticorrupción, monitoreo y retroalimentación al mapa de riesgos</v>
      </c>
      <c r="AB6" t="str">
        <f>+IFERROR(IF(ISBLANK(VLOOKUP(CONCATENATE($F6,"_",AB$4),PAAC_2,MATCH(AB$3,PAAC!$E$19:$T$19,0),0)),"",VLOOKUP(CONCATENATE($F6,"_",AB$4),PAAC_2,MATCH(AB$3,PAAC!$E$19:$T$19,0),0)),"")</f>
        <v>No se presentaron retrasos o dificultades para la realización de las actividades</v>
      </c>
      <c r="AC6" t="str">
        <f>+IFERROR(IF(ISBLANK(VLOOKUP(CONCATENATE($F6,"_",AC$4),PAAC_2,MATCH(AC$3,PAAC!$E$19:$T$19,0),0)),"",VLOOKUP(CONCATENATE($F6,"_",AC$4),PAAC_2,MATCH(AC$3,PAAC!$E$19:$T$19,0),0)),"")</f>
        <v>Las actividades realizadas contribuyen a prevenir y minimizar los riesgos de corrupción en la entidad</v>
      </c>
      <c r="AD6">
        <f>+IFERROR(IF(ISBLANK(VLOOKUP(CONCATENATE($F6,"_",AD$4),PAAC_2,MATCH(AD$3,PAAC!$E$19:$T$19,0),0)),"",VLOOKUP(CONCATENATE($F6,"_",AD$4),PAAC_2,MATCH(AD$3,PAAC!$E$19:$T$19,0),0)),"")</f>
        <v>0</v>
      </c>
      <c r="AE6">
        <f>+IFERROR(IF(ISBLANK(VLOOKUP(CONCATENATE($F6,"_",AE$4),PAAC_2,MATCH(AE$3,PAAC!$E$19:$T$19,0),0)),"",VLOOKUP(CONCATENATE($F6,"_",AE$4),PAAC_2,MATCH(AE$3,PAAC!$E$19:$T$19,0),0)),"")</f>
        <v>0</v>
      </c>
      <c r="AF6" t="str">
        <f>+IFERROR(IF(ISBLANK(VLOOKUP(CONCATENATE($F6,"_",AF$4),PAAC_2,MATCH(AF$3,PAAC!$E$19:$T$19,0),0)),"",VLOOKUP(CONCATENATE($F6,"_",AF$4),PAAC_2,MATCH(AF$3,PAAC!$E$19:$T$19,0),0)),"")</f>
        <v>No Aplica</v>
      </c>
      <c r="AG6" t="str">
        <f>+IFERROR(IF(ISBLANK(VLOOKUP(CONCATENATE($F6,"_",AG$4),PAAC_2,MATCH(AG$3,PAAC!$E$19:$T$19,0),0)),"",VLOOKUP(CONCATENATE($F6,"_",AG$4),PAAC_2,MATCH(AG$3,PAAC!$E$19:$T$19,0),0)),"")</f>
        <v>No Aplica</v>
      </c>
      <c r="AH6" t="str">
        <f>+IFERROR(IF(ISBLANK(VLOOKUP(CONCATENATE($F6,"_",AH$4),PAAC_2,MATCH(AH$3,PAAC!$E$19:$T$19,0),0)),"",VLOOKUP(CONCATENATE($F6,"_",AH$4),PAAC_2,MATCH(AH$3,PAAC!$E$19:$T$19,0),0)),"")</f>
        <v>No Aplica</v>
      </c>
      <c r="AI6">
        <f>+IFERROR(IF(ISBLANK(VLOOKUP(CONCATENATE($F6,"_",AI$4),PAAC_2,MATCH(AI$3,PAAC!$E$19:$T$19,0),0)),"",VLOOKUP(CONCATENATE($F6,"_",AI$4),PAAC_2,MATCH(AI$3,PAAC!$E$19:$T$19,0),0)),"")</f>
        <v>12</v>
      </c>
      <c r="AJ6">
        <f>+IFERROR(IF(ISBLANK(VLOOKUP(CONCATENATE($F6,"_",AJ$4),PAAC_2,MATCH(AJ$3,PAAC!$E$19:$T$19,0),0)),"",VLOOKUP(CONCATENATE($F6,"_",AJ$4),PAAC_2,MATCH(AJ$3,PAAC!$E$19:$T$19,0),0)),"")</f>
        <v>12</v>
      </c>
      <c r="AK6" t="str">
        <f>+IFERROR(IF(ISBLANK(VLOOKUP(CONCATENATE($F6,"_",AK$4),PAAC_2,MATCH(AK$3,PAAC!$E$19:$T$19,0),0)),"",VLOOKUP(CONCATENATE($F6,"_",AK$4),PAAC_2,MATCH(AK$3,PAAC!$E$19:$T$19,0),0)),"")</f>
        <v>La ejecución se ha venido realizando conforme a la programción establecida con el ánimo de gestionar los riesgos de corrupción en la entidad. Se destacaron las actividades como: Seguimiento, monitoreo y actualización del mapa de riesgos</v>
      </c>
      <c r="AL6" t="str">
        <f>+IFERROR(IF(ISBLANK(VLOOKUP(CONCATENATE($F6,"_",AL$4),PAAC_2,MATCH(AL$3,PAAC!$E$19:$T$19,0),0)),"",VLOOKUP(CONCATENATE($F6,"_",AL$4),PAAC_2,MATCH(AL$3,PAAC!$E$19:$T$19,0),0)),"")</f>
        <v>Por efectos de la emergencia sanitaria se han presentado dificultades para la ralización de las actividades pero se han podido solucionar con el uso de la tecnología</v>
      </c>
      <c r="AM6" t="str">
        <f>+IFERROR(IF(ISBLANK(VLOOKUP(CONCATENATE($F6,"_",AM$4),PAAC_2,MATCH(AM$3,PAAC!$E$19:$T$19,0),0)),"",VLOOKUP(CONCATENATE($F6,"_",AM$4),PAAC_2,MATCH(AM$3,PAAC!$E$19:$T$19,0),0)),"")</f>
        <v>Las actividades realizadas contribuyen a prevenir y minimizar los riesgos de corrupción en la entidad</v>
      </c>
      <c r="AN6">
        <f>+IFERROR(IF(ISBLANK(VLOOKUP(CONCATENATE($F6,"_",AN$4),PAAC_2,MATCH(AN$3,PAAC!$E$19:$T$19,0),0)),"",VLOOKUP(CONCATENATE($F6,"_",AN$4),PAAC_2,MATCH(AN$3,PAAC!$E$19:$T$19,0),0)),"")</f>
        <v>1</v>
      </c>
      <c r="AO6">
        <f>+IFERROR(IF(ISBLANK(VLOOKUP(CONCATENATE($F6,"_",AO$4),PAAC_2,MATCH(AO$3,PAAC!$E$19:$T$19,0),0)),"",VLOOKUP(CONCATENATE($F6,"_",AO$4),PAAC_2,MATCH(AO$3,PAAC!$E$19:$T$19,0),0)),"")</f>
        <v>1</v>
      </c>
      <c r="AP6" t="str">
        <f>+IFERROR(IF(ISBLANK(VLOOKUP(CONCATENATE($F6,"_",AP$4),PAAC_2,MATCH(AP$3,PAAC!$E$19:$T$19,0),0)),"",VLOOKUP(CONCATENATE($F6,"_",AP$4),PAAC_2,MATCH(AP$3,PAAC!$E$19:$T$19,0),0)),"")</f>
        <v>La ejecución se ha venido realizando conforme a la programción establecida con el ánimo de gestionar los riesgos de corrupción en la entidad. Se destacaron las actividades como: La publicación del mapa de riesgos en la página web de la entidad</v>
      </c>
      <c r="AQ6" t="str">
        <f>+IFERROR(IF(ISBLANK(VLOOKUP(CONCATENATE($F6,"_",AQ$4),PAAC_2,MATCH(AQ$3,PAAC!$E$19:$T$19,0),0)),"",VLOOKUP(CONCATENATE($F6,"_",AQ$4),PAAC_2,MATCH(AQ$3,PAAC!$E$19:$T$19,0),0)),"")</f>
        <v>Por efectos de la emergencia sanitaria se han presentado dificultades para la ralización de las actividades pero se han podido solucionar con el uso de la tecnología</v>
      </c>
      <c r="AR6" t="str">
        <f>+IFERROR(IF(ISBLANK(VLOOKUP(CONCATENATE($F6,"_",AR$4),PAAC_2,MATCH(AR$3,PAAC!$E$19:$T$19,0),0)),"",VLOOKUP(CONCATENATE($F6,"_",AR$4),PAAC_2,MATCH(AR$3,PAAC!$E$19:$T$19,0),0)),"")</f>
        <v>Las actividades realizadas contribuyen a prevenir y minimizar los riesgos de corrupción en la entidad</v>
      </c>
      <c r="AS6">
        <f>+IFERROR(IF(ISBLANK(VLOOKUP(CONCATENATE($F6,"_",AS$4),PAAC_2,MATCH(AS$3,PAAC!$E$19:$T$19,0),0)),"",VLOOKUP(CONCATENATE($F6,"_",AS$4),PAAC_2,MATCH(AS$3,PAAC!$E$19:$T$19,0),0)),"")</f>
        <v>13</v>
      </c>
      <c r="AT6">
        <f>+IFERROR(IF(ISBLANK(VLOOKUP(CONCATENATE($F6,"_",AT$4),PAAC_2,MATCH(AT$3,PAAC!$E$19:$T$19,0),0)),"",VLOOKUP(CONCATENATE($F6,"_",AT$4),PAAC_2,MATCH(AT$3,PAAC!$E$19:$T$19,0),0)),"")</f>
        <v>13</v>
      </c>
      <c r="AU6" t="str">
        <f>+IFERROR(IF(ISBLANK(VLOOKUP(CONCATENATE($F6,"_",AU$4),PAAC_2,MATCH(AU$3,PAAC!$E$19:$T$19,0),0)),"",VLOOKUP(CONCATENATE($F6,"_",AU$4),PAAC_2,MATCH(AU$3,PAAC!$E$19:$T$19,0),0)),"")</f>
        <v>La ejecución se ha venido realizando conforme a la programción establecida con el ánimo de gestionar los riesgos de corrupción en la entidad.  Se destacaron las actividades como: Monitoreo y seguimiento al mapa de riesgos a 30 de abril y El seguimiento al mapa de riesgos por parte de la Oficina de Control Interno (Primer Cuatrimestre)</v>
      </c>
      <c r="AV6" t="str">
        <f>+IFERROR(IF(ISBLANK(VLOOKUP(CONCATENATE($F6,"_",AV$4),PAAC_2,MATCH(AV$3,PAAC!$E$19:$T$19,0),0)),"",VLOOKUP(CONCATENATE($F6,"_",AV$4),PAAC_2,MATCH(AV$3,PAAC!$E$19:$T$19,0),0)),"")</f>
        <v>Por efectos de la emergencia sanitaria se han presentado dificultades para la ralización de las actividades pero se han podido solucionar con el uso de la tecnología</v>
      </c>
      <c r="AW6" t="str">
        <f>+IFERROR(IF(ISBLANK(VLOOKUP(CONCATENATE($F6,"_",AW$4),PAAC_2,MATCH(AW$3,PAAC!$E$19:$T$19,0),0)),"",VLOOKUP(CONCATENATE($F6,"_",AW$4),PAAC_2,MATCH(AW$3,PAAC!$E$19:$T$19,0),0)),"")</f>
        <v>Las actividades realizadas contribuyen a prevenir y minimizar los riesgos de corrupción en la entidad</v>
      </c>
      <c r="AX6">
        <f>+IFERROR(IF(ISBLANK(VLOOKUP(CONCATENATE($F6,"_",AX$4),PAAC_2,MATCH(AX$3,PAAC!$E$19:$T$19,0),0)),"",VLOOKUP(CONCATENATE($F6,"_",AX$4),PAAC_2,MATCH(AX$3,PAAC!$E$19:$T$19,0),0)),"")</f>
        <v>1</v>
      </c>
      <c r="AY6">
        <f>+IFERROR(IF(ISBLANK(VLOOKUP(CONCATENATE($F6,"_",AY$4),PAAC_2,MATCH(AY$3,PAAC!$E$19:$T$19,0),0)),"",VLOOKUP(CONCATENATE($F6,"_",AY$4),PAAC_2,MATCH(AY$3,PAAC!$E$19:$T$19,0),0)),"")</f>
        <v>1</v>
      </c>
      <c r="AZ6" t="str">
        <f>+IFERROR(IF(ISBLANK(VLOOKUP(CONCATENATE($F6,"_",AZ$4),PAAC_2,MATCH(AZ$3,PAAC!$E$19:$T$19,0),0)),"",VLOOKUP(CONCATENATE($F6,"_",AZ$4),PAAC_2,MATCH(AZ$3,PAAC!$E$19:$T$19,0),0)),"")</f>
        <v xml:space="preserve">Se adelantó por parte de  la Oficina de Control Interno Disciplinario (Primer Semestre) la formulación de acciones preventivas dirigidas a 154 funcionarios y colaboradores de la red CADE y la Subdirección de Imprenta Distrital para evitar hechos de corrupción </v>
      </c>
      <c r="BA6" t="str">
        <f>+IFERROR(IF(ISBLANK(VLOOKUP(CONCATENATE($F6,"_",BA$4),PAAC_2,MATCH(BA$3,PAAC!$E$19:$T$19,0),0)),"",VLOOKUP(CONCATENATE($F6,"_",BA$4),PAAC_2,MATCH(BA$3,PAAC!$E$19:$T$19,0),0)),"")</f>
        <v>Ninguna</v>
      </c>
      <c r="BB6" t="str">
        <f>+IFERROR(IF(ISBLANK(VLOOKUP(CONCATENATE($F6,"_",BB$4),PAAC_2,MATCH(BB$3,PAAC!$E$19:$T$19,0),0)),"",VLOOKUP(CONCATENATE($F6,"_",BB$4),PAAC_2,MATCH(BB$3,PAAC!$E$19:$T$19,0),0)),"")</f>
        <v xml:space="preserve">Las actividades realizadas contribuyeron a la orientación de los funcionarios para prevenir y minimizar hechos de corrupción en la entidad </v>
      </c>
      <c r="BC6">
        <f>+SUMIF($Y$4:$BB$4,BC$4,$Y6:$BB6)</f>
        <v>42</v>
      </c>
      <c r="BD6">
        <f>+SUMIF($Y$4:$BB$4,BD$4,$Y6:$BB6)</f>
        <v>42</v>
      </c>
      <c r="BE6" s="129" t="str">
        <f>+IFERROR(IF(ISBLANK(VLOOKUP(CONCATENATE($F6,"_",BE$4),P1081_4,MATCH(BE$3,PAAC!$E$19:$M$19,0),0)),"",VLOOKUP(CONCATENATE($F6,"_",BE$4),P1081_4,MATCH(BE$3,PAAC!$E$19:$M$19,0),0)),"")</f>
        <v/>
      </c>
      <c r="BF6" s="129" t="str">
        <f>+IFERROR(IF(ISBLANK(VLOOKUP(CONCATENATE($F6,"_",BF$4),P1081_4,MATCH(BF$3,PAAC!$E$19:$M$19,0),0)),"",VLOOKUP(CONCATENATE($F6,"_",BF$4),P1081_4,MATCH(BF$3,PAAC!$E$19:$M$19,0),0)),"")</f>
        <v/>
      </c>
      <c r="BG6" s="129" t="str">
        <f>+IFERROR(IF(ISBLANK(VLOOKUP(CONCATENATE($F6,"_",BG$4),P1081_4,MATCH(BG$3,PAAC!$E$19:$M$19,0),0)),"",VLOOKUP(CONCATENATE($F6,"_",BG$4),P1081_4,MATCH(BG$3,PAAC!$E$19:$M$19,0),0)),"")</f>
        <v/>
      </c>
      <c r="BH6" s="129" t="str">
        <f>+IFERROR(IF(ISBLANK(VLOOKUP(CONCATENATE($F6,"_",BH$4),P1081_4,MATCH(BH$3,PAAC!$E$19:$M$19,0),0)),"",VLOOKUP(CONCATENATE($F6,"_",BH$4),P1081_4,MATCH(BH$3,PAAC!$E$19:$M$19,0),0)),"")</f>
        <v/>
      </c>
      <c r="BI6" s="129" t="str">
        <f>+IFERROR(IF(ISBLANK(VLOOKUP(CONCATENATE($F6,"_",BI$4),P1081_4,MATCH(BI$3,PAAC!$E$19:$M$19,0),0)),"",VLOOKUP(CONCATENATE($F6,"_",BI$4),P1081_4,MATCH(BI$3,PAAC!$E$19:$M$19,0),0)),"")</f>
        <v/>
      </c>
      <c r="BJ6" s="129" t="str">
        <f>+IFERROR(IF(ISBLANK(VLOOKUP(CONCATENATE($F6,"_",BJ$4),P1081_4,MATCH(BJ$3,PAAC!$E$19:$M$19,0),0)),"",VLOOKUP(CONCATENATE($F6,"_",BJ$4),P1081_4,MATCH(BJ$3,PAAC!$E$19:$M$19,0),0)),"")</f>
        <v/>
      </c>
      <c r="BK6" s="129" t="str">
        <f>+IFERROR(IF(ISBLANK(VLOOKUP(CONCATENATE($F6,"_",BK$4),P1081_4,MATCH(BK$3,PAAC!$E$19:$M$19,0),0)),"",VLOOKUP(CONCATENATE($F6,"_",BK$4),P1081_4,MATCH(BK$3,PAAC!$E$19:$M$19,0),0)),"")</f>
        <v/>
      </c>
      <c r="BL6" s="129" t="str">
        <f>+IFERROR(IF(ISBLANK(VLOOKUP(CONCATENATE($F6,"_",BL$4),P1081_4,MATCH(BL$3,PAAC!$E$19:$M$19,0),0)),"",VLOOKUP(CONCATENATE($F6,"_",BL$4),P1081_4,MATCH(BL$3,PAAC!$E$19:$M$19,0),0)),"")</f>
        <v/>
      </c>
      <c r="BM6" s="129" t="str">
        <f>+IFERROR(IF(ISBLANK(VLOOKUP(CONCATENATE($F6,"_",BM$4),P1081_4,MATCH(BM$3,PAAC!$E$19:$M$19,0),0)),"",VLOOKUP(CONCATENATE($F6,"_",BM$4),P1081_4,MATCH(BM$3,PAAC!$E$19:$M$19,0),0)),"")</f>
        <v/>
      </c>
      <c r="BN6" s="129" t="str">
        <f>+IFERROR(IF(ISBLANK(VLOOKUP(CONCATENATE($F6,"_",BN$4),P1081_4,MATCH(BN$3,PAAC!$E$19:$M$19,0),0)),"",VLOOKUP(CONCATENATE($F6,"_",BN$4),P1081_4,MATCH(BN$3,PAAC!$E$19:$M$19,0),0)),"")</f>
        <v/>
      </c>
      <c r="BO6" s="129" t="str">
        <f>+IFERROR(IF(ISBLANK(VLOOKUP(CONCATENATE($F6,"_",BO$4),P1081_4,MATCH(BO$3,PAAC!$E$19:$M$19,0),0)),"",VLOOKUP(CONCATENATE($F6,"_",BO$4),P1081_4,MATCH(BO$3,PAAC!$E$19:$M$19,0),0)),"")</f>
        <v/>
      </c>
      <c r="BP6" s="129" t="str">
        <f>+IFERROR(IF(ISBLANK(VLOOKUP(CONCATENATE($F6,"_",BP$4),P1081_4,MATCH(BP$3,PAAC!$E$19:$M$19,0),0)),"",VLOOKUP(CONCATENATE($F6,"_",BP$4),P1081_4,MATCH(BP$3,PAAC!$E$19:$M$19,0),0)),"")</f>
        <v/>
      </c>
      <c r="BQ6" s="129" t="str">
        <f>+IFERROR(IF(ISBLANK(VLOOKUP(CONCATENATE($F6,"_",BQ$4),P1081_4,MATCH(BQ$3,PAAC!$E$19:$M$19,0),0)),"",VLOOKUP(CONCATENATE($F6,"_",BQ$4),P1081_4,MATCH(BQ$3,PAAC!$E$19:$M$19,0),0)),"")</f>
        <v/>
      </c>
      <c r="BR6" s="129" t="str">
        <f>+IFERROR(IF(ISBLANK(VLOOKUP(CONCATENATE($F6,"_",BR$4),P1081_4,MATCH(BR$3,PAAC!$E$19:$M$19,0),0)),"",VLOOKUP(CONCATENATE($F6,"_",BR$4),P1081_4,MATCH(BR$3,PAAC!$E$19:$M$19,0),0)),"")</f>
        <v/>
      </c>
      <c r="BS6" s="129" t="str">
        <f>+IFERROR(IF(ISBLANK(VLOOKUP(CONCATENATE($F6,"_",BS$4),P1081_4,MATCH(BS$3,PAAC!$E$19:$M$19,0),0)),"",VLOOKUP(CONCATENATE($F6,"_",BS$4),P1081_4,MATCH(BS$3,PAAC!$E$19:$M$19,0),0)),"")</f>
        <v/>
      </c>
      <c r="BT6" s="129" t="str">
        <f>+IFERROR(IF(ISBLANK(VLOOKUP(CONCATENATE($F6,"_",BT$4),P1081_4,MATCH(BT$3,PAAC!$E$19:$M$19,0),0)),"",VLOOKUP(CONCATENATE($F6,"_",BT$4),P1081_4,MATCH(BT$3,PAAC!$E$19:$M$19,0),0)),"")</f>
        <v/>
      </c>
      <c r="BU6" s="129" t="str">
        <f>+IFERROR(IF(ISBLANK(VLOOKUP(CONCATENATE($F6,"_",BU$4),P1081_4,MATCH(BU$3,PAAC!$E$19:$M$19,0),0)),"",VLOOKUP(CONCATENATE($F6,"_",BU$4),P1081_4,MATCH(BU$3,PAAC!$E$19:$M$19,0),0)),"")</f>
        <v/>
      </c>
      <c r="BV6" s="129" t="str">
        <f>+IFERROR(IF(ISBLANK(VLOOKUP(CONCATENATE($F6,"_",BV$4),P1081_4,MATCH(BV$3,PAAC!$E$19:$M$19,0),0)),"",VLOOKUP(CONCATENATE($F6,"_",BV$4),P1081_4,MATCH(BV$3,PAAC!$E$19:$M$19,0),0)),"")</f>
        <v/>
      </c>
      <c r="BW6" s="129" t="str">
        <f>+IFERROR(IF(ISBLANK(VLOOKUP(CONCATENATE($F6,"_",BW$4),P1081_4,MATCH(BW$3,PAAC!$E$19:$M$19,0),0)),"",VLOOKUP(CONCATENATE($F6,"_",BW$4),P1081_4,MATCH(BW$3,PAAC!$E$19:$M$19,0),0)),"")</f>
        <v/>
      </c>
      <c r="BX6" s="129" t="str">
        <f>+IFERROR(IF(ISBLANK(VLOOKUP(CONCATENATE($F6,"_",BX$4),P1081_4,MATCH(BX$3,PAAC!$E$19:$M$19,0),0)),"",VLOOKUP(CONCATENATE($F6,"_",BX$4),P1081_4,MATCH(BX$3,PAAC!$E$19:$M$19,0),0)),"")</f>
        <v/>
      </c>
      <c r="BY6" s="129" t="str">
        <f>+IFERROR(IF(ISBLANK(VLOOKUP(CONCATENATE($F6,"_",BY$4),P1081_4,MATCH(BY$3,PAAC!$E$19:$M$19,0),0)),"",VLOOKUP(CONCATENATE($F6,"_",BY$4),P1081_4,MATCH(BY$3,PAAC!$E$19:$M$19,0),0)),"")</f>
        <v/>
      </c>
      <c r="BZ6" s="129" t="str">
        <f>+IFERROR(IF(ISBLANK(VLOOKUP(CONCATENATE($F6,"_",BZ$4),P1081_4,MATCH(BZ$3,PAAC!$E$19:$M$19,0),0)),"",VLOOKUP(CONCATENATE($F6,"_",BZ$4),P1081_4,MATCH(BZ$3,PAAC!$E$19:$M$19,0),0)),"")</f>
        <v/>
      </c>
      <c r="CA6" s="129" t="str">
        <f>+IFERROR(IF(ISBLANK(VLOOKUP(CONCATENATE($F6,"_",CA$4),P1081_4,MATCH(CA$3,PAAC!$E$19:$M$19,0),0)),"",VLOOKUP(CONCATENATE($F6,"_",CA$4),P1081_4,MATCH(CA$3,PAAC!$E$19:$M$19,0),0)),"")</f>
        <v/>
      </c>
      <c r="CB6" s="129" t="str">
        <f>+IFERROR(IF(ISBLANK(VLOOKUP(CONCATENATE($F6,"_",CB$4),P1081_4,MATCH(CB$3,PAAC!$E$19:$M$19,0),0)),"",VLOOKUP(CONCATENATE($F6,"_",CB$4),P1081_4,MATCH(CB$3,PAAC!$E$19:$M$19,0),0)),"")</f>
        <v/>
      </c>
      <c r="CC6" s="129" t="str">
        <f>+IFERROR(IF(ISBLANK(VLOOKUP(CONCATENATE($F6,"_",CC$4),P1081_4,MATCH(CC$3,PAAC!$E$19:$M$19,0),0)),"",VLOOKUP(CONCATENATE($F6,"_",CC$4),P1081_4,MATCH(CC$3,PAAC!$E$19:$M$19,0),0)),"")</f>
        <v/>
      </c>
      <c r="CD6" s="129" t="str">
        <f>+IF(BY6&lt;&gt;"",BY6,IF(BT6&lt;&gt;"",BT6,IF(BO6&lt;&gt;"",BO6,IF(BJ6&lt;&gt;"",BJ6,BE6))))</f>
        <v/>
      </c>
      <c r="CE6" s="129" t="str">
        <f t="shared" ref="CE6:CE58" si="3">+IF(BZ6&lt;&gt;"",BZ6,IF(BU6&lt;&gt;"",BU6,IF(BP6&lt;&gt;"",BP6,IF(BK6&lt;&gt;"",BK6,BF6))))</f>
        <v/>
      </c>
      <c r="CF6" s="129" t="str">
        <f t="shared" ref="CF6:CF58" si="4">+IF(CA6&lt;&gt;"",CA6,IF(BV6&lt;&gt;"",BV6,IF(BQ6&lt;&gt;"",BQ6,IF(BL6&lt;&gt;"",BL6,BG6))))</f>
        <v/>
      </c>
      <c r="CG6" s="129" t="str">
        <f t="shared" ref="CG6:CG58" si="5">+IF(CB6&lt;&gt;"",CB6,IF(BW6&lt;&gt;"",BW6,IF(BR6&lt;&gt;"",BR6,IF(BM6&lt;&gt;"",BM6,BH6))))</f>
        <v/>
      </c>
      <c r="CH6" s="129" t="str">
        <f t="shared" ref="CH6:CH58" si="6">+IF(CC6&lt;&gt;"",CC6,IF(BX6&lt;&gt;"",BX6,IF(BS6&lt;&gt;"",BS6,IF(BN6&lt;&gt;"",BN6,BI6))))</f>
        <v/>
      </c>
      <c r="CI6" t="str">
        <f t="shared" ref="CI6:DY6" si="7">+VLOOKUP($F6,PAAC_R,CI$4,0)</f>
        <v>No aplica</v>
      </c>
      <c r="CJ6" t="str">
        <f t="shared" si="7"/>
        <v>Cumplido</v>
      </c>
      <c r="CK6" t="str">
        <f t="shared" si="7"/>
        <v>No adecuado</v>
      </c>
      <c r="CL6" t="str">
        <f t="shared" si="7"/>
        <v>Coherente</v>
      </c>
      <c r="CM6" t="str">
        <f t="shared" si="7"/>
        <v>Indeterminado</v>
      </c>
      <c r="CN6" t="str">
        <f t="shared" si="7"/>
        <v>Indeterminado</v>
      </c>
      <c r="CO6" t="str">
        <f t="shared" si="7"/>
        <v>No aplica</v>
      </c>
      <c r="CP6" t="str">
        <f t="shared" si="7"/>
        <v>Indeterminado</v>
      </c>
      <c r="CQ6" t="str">
        <f t="shared" si="7"/>
        <v>Oportuna</v>
      </c>
      <c r="CR6" t="str">
        <f t="shared" si="7"/>
        <v>El reporte de las evidencias debería guardar correspondencia con el número de las actividades ejecutadas, de manera que sean fácilmente verificables. Por ejemplo, para el mes de enero se reportan 15 actividades realizadas de 15 programadas y en las 5 carpetas de evidencias se tienen 18 archivos; para el mes de marzo se reportan 12 de 12 y las evidencias en 2 carpetas contienen 24 archivos. De otra parte, el avance cualitativo no señala a qué actividades corresponde el avance del indicador, lo que podría facilitar el cotejo de evidencias.</v>
      </c>
      <c r="CS6" t="str">
        <f t="shared" si="7"/>
        <v>Fernando Escobar Mendoza</v>
      </c>
      <c r="CT6" t="str">
        <f t="shared" si="7"/>
        <v>Cumple</v>
      </c>
      <c r="CU6" t="str">
        <f t="shared" si="7"/>
        <v>Cumplido</v>
      </c>
      <c r="CV6" t="str">
        <f t="shared" si="7"/>
        <v>Adecuado</v>
      </c>
      <c r="CW6" t="str">
        <f t="shared" si="7"/>
        <v>Coherente</v>
      </c>
      <c r="CX6" t="str">
        <f t="shared" si="7"/>
        <v>Concuerda</v>
      </c>
      <c r="CY6" t="str">
        <f t="shared" si="7"/>
        <v>No aplica</v>
      </c>
      <c r="CZ6" t="str">
        <f t="shared" si="7"/>
        <v>No aplica</v>
      </c>
      <c r="DA6" t="str">
        <f t="shared" si="7"/>
        <v>No adecuado</v>
      </c>
      <c r="DB6" t="str">
        <f t="shared" si="7"/>
        <v>Oportuna</v>
      </c>
      <c r="DC6" t="str">
        <f t="shared" si="7"/>
        <v>En el avance cualitativo no se relaciona el reporte de la oficina de control interno disciplinario sobre hechos de corrupción en el semestre y en las evidencias se incluye el reporte de la capacitación pero no las evidencias de su ejecución (presentación, lista de asistentes etc.). Se debería incluir en las evidencias según la programación del PAAC el entregable de la actividad prevista.</v>
      </c>
      <c r="DD6" t="str">
        <f t="shared" si="7"/>
        <v>Fernando Escobar Mendoza</v>
      </c>
      <c r="DE6" t="e">
        <f t="shared" si="7"/>
        <v>#REF!</v>
      </c>
      <c r="DF6" t="e">
        <f t="shared" si="7"/>
        <v>#REF!</v>
      </c>
      <c r="DG6" t="e">
        <f t="shared" si="7"/>
        <v>#REF!</v>
      </c>
      <c r="DH6" t="e">
        <f t="shared" si="7"/>
        <v>#REF!</v>
      </c>
      <c r="DI6" t="e">
        <f t="shared" si="7"/>
        <v>#REF!</v>
      </c>
      <c r="DJ6" t="e">
        <f t="shared" si="7"/>
        <v>#REF!</v>
      </c>
      <c r="DK6" t="e">
        <f t="shared" si="7"/>
        <v>#REF!</v>
      </c>
      <c r="DL6" t="e">
        <f t="shared" si="7"/>
        <v>#REF!</v>
      </c>
      <c r="DM6" t="e">
        <f t="shared" si="7"/>
        <v>#REF!</v>
      </c>
      <c r="DN6" t="e">
        <f t="shared" si="7"/>
        <v>#REF!</v>
      </c>
      <c r="DO6" t="e">
        <f t="shared" si="7"/>
        <v>#REF!</v>
      </c>
      <c r="DP6" t="e">
        <f t="shared" si="7"/>
        <v>#REF!</v>
      </c>
      <c r="DQ6" t="e">
        <f t="shared" si="7"/>
        <v>#REF!</v>
      </c>
      <c r="DR6" t="e">
        <f t="shared" si="7"/>
        <v>#REF!</v>
      </c>
      <c r="DS6" t="e">
        <f t="shared" si="7"/>
        <v>#REF!</v>
      </c>
      <c r="DT6" t="e">
        <f t="shared" si="7"/>
        <v>#REF!</v>
      </c>
      <c r="DU6" t="e">
        <f t="shared" si="7"/>
        <v>#REF!</v>
      </c>
      <c r="DV6" t="e">
        <f t="shared" si="7"/>
        <v>#REF!</v>
      </c>
      <c r="DW6" t="e">
        <f t="shared" si="7"/>
        <v>#REF!</v>
      </c>
      <c r="DX6" t="e">
        <f t="shared" si="7"/>
        <v>#REF!</v>
      </c>
      <c r="DY6" t="e">
        <f t="shared" si="7"/>
        <v>#VALUE!</v>
      </c>
    </row>
    <row r="7" spans="1:129" x14ac:dyDescent="0.3">
      <c r="A7" s="423" t="str">
        <f>+F7</f>
        <v>02_PAAC</v>
      </c>
      <c r="B7" t="str">
        <f>+C7&amp;"_"&amp;D7</f>
        <v>2_Oficina Asesora de Planeación</v>
      </c>
      <c r="C7">
        <f t="shared" ref="C7:C69" si="8">+IF(D7=D6,C6+1,1)</f>
        <v>2</v>
      </c>
      <c r="D7" t="str">
        <f t="shared" si="0"/>
        <v>Oficina Asesora de Planeación</v>
      </c>
      <c r="E7" t="str">
        <f t="shared" si="1"/>
        <v>oap</v>
      </c>
      <c r="F7" s="208" t="str">
        <f>+PAAC!C11</f>
        <v>02_PAAC</v>
      </c>
      <c r="G7" t="str">
        <f t="shared" si="2"/>
        <v>Constante</v>
      </c>
      <c r="H7" t="str">
        <f t="shared" si="2"/>
        <v>Porcentaje</v>
      </c>
      <c r="I7" t="str">
        <f t="shared" si="2"/>
        <v>No Disponible / No Aplica</v>
      </c>
      <c r="J7" t="str">
        <f t="shared" si="2"/>
        <v>No Disponible / No Aplica</v>
      </c>
      <c r="K7" t="str">
        <f>+IFERROR(VLOOKUP($F7,PAAC_1,MATCH(K$5,PAAC!$C$9:$AA$9,0),0),"")</f>
        <v>Suma</v>
      </c>
      <c r="L7">
        <f>+IFERROR(VLOOKUP($F7,PAAC_1,MATCH(L$5,PAAC!$C$9:$AA$9,0),0),"")</f>
        <v>2</v>
      </c>
      <c r="M7">
        <f t="shared" ref="M7:M33" si="9">+IFERROR(SUM(N7:P7),"")</f>
        <v>0</v>
      </c>
      <c r="N7">
        <f>+IFERROR(VLOOKUP($F7,PAAC_1,MATCH(N$5,PAAC!$C$9:$AA$9,0),0),"")</f>
        <v>0</v>
      </c>
      <c r="O7">
        <f>+IFERROR(VLOOKUP($F7,PAAC_1,MATCH(O$5,PAAC!$C$9:$AA$9,0),0),"")</f>
        <v>0</v>
      </c>
      <c r="P7">
        <f>+IFERROR(VLOOKUP($F7,PAAC_1,MATCH(P$5,PAAC!$C$9:$AA$9,0),0),"")</f>
        <v>0</v>
      </c>
      <c r="Q7">
        <f>+IFERROR(VLOOKUP($F7,PAAC_1,MATCH(Q$5,PAAC!$C$9:$AA$9,0),0),"")</f>
        <v>0</v>
      </c>
      <c r="R7">
        <f>+IFERROR(VLOOKUP($F7,PAAC_1,MATCH(R$5,PAAC!$C$9:$AA$9,0),0),"")</f>
        <v>2</v>
      </c>
      <c r="S7">
        <f>+IFERROR(VLOOKUP($F7,PAAC_1,MATCH(S$5,PAAC!$C$9:$AA$9,0),0),"")</f>
        <v>0</v>
      </c>
      <c r="T7">
        <f>+IFERROR(VLOOKUP($F7,PAAC_1,MATCH(T$5,PAAC!$C$9:$AA$9,0),0),"")</f>
        <v>100</v>
      </c>
      <c r="U7" t="str">
        <f>+IFERROR(VLOOKUP($F7,PAAC_1,MATCH(U$5,PAAC!$C$9:$AA$9,0),0),"")</f>
        <v>Este indicador mide el avance en la ejecución de las actividades programadas en la vigencia, para el Componente 2 del Plan Anticorrupción y Atención al Ciudadano en la Secretaria General de la Alcaldía Mayor de Bogotá D.C.</v>
      </c>
      <c r="V7" t="str">
        <f>+IFERROR(VLOOKUP($F7,PAAC_1,MATCH(V$5,PAAC!$C$9:$AA$9,0),0),"")</f>
        <v>Prestar apoyo técnico a las dependencias en lo relacionado con la formulación y el desarrollo de las actividades asociadas al componente 2 del Plan Anticorrupción y Atención al Ciudadano.
Hacer monitoreo y seguimiento a las dependencias responsables de la ejecución de las actividades programadas en el componenente 2 del Plan Anticorrupción y Atención al Ciudadano.</v>
      </c>
      <c r="W7" t="str">
        <f>+IFERROR(VLOOKUP($F7,PAAC_1,MATCH(W$5,PAAC!$C$9:$AA$9,0),0),"")</f>
        <v>Facilitar al ciudadano el acceso a los trámites y servicios que brinda la entidad, con el ánimo de  simplificar el proceso y reducir tiempos y costos asociados y  generar esquemas no presenciales de acceso al trámite a través del uso de las herramientas tecnológicas</v>
      </c>
      <c r="X7" t="str">
        <f>+IFERROR(VLOOKUP($F7,PAAC_1,MATCH(X$5,PAAC!$C$9:$AA$9,0),0),"")</f>
        <v xml:space="preserve">Botón de transparencia de la página web de la Secretaría General
Plataforma SUIT
</v>
      </c>
      <c r="Y7" t="str">
        <f>+IFERROR(IF(ISBLANK(VLOOKUP(CONCATENATE($F7,"_",Y$4),PAAC_2,MATCH(Y$3,PAAC!$E$19:$T$19,0),0)),"",VLOOKUP(CONCATENATE($F7,"_",Y$4),PAAC_2,MATCH(Y$3,PAAC!$E$19:$T$19,0),0)),"")</f>
        <v/>
      </c>
      <c r="Z7" t="str">
        <f>+IFERROR(IF(ISBLANK(VLOOKUP(CONCATENATE($F7,"_",Z$4),PAAC_2,MATCH(Z$3,PAAC!$E$19:$T$19,0),0)),"",VLOOKUP(CONCATENATE($F7,"_",Z$4),PAAC_2,MATCH(Z$3,PAAC!$E$19:$T$19,0),0)),"")</f>
        <v/>
      </c>
      <c r="AA7" t="str">
        <f>+IFERROR(IF(ISBLANK(VLOOKUP(CONCATENATE($F7,"_",AA$4),PAAC_2,MATCH(AA$3,PAAC!$E$19:$T$19,0),0)),"",VLOOKUP(CONCATENATE($F7,"_",AA$4),PAAC_2,MATCH(AA$3,PAAC!$E$19:$T$19,0),0)),"")</f>
        <v>No Aplica</v>
      </c>
      <c r="AB7" t="str">
        <f>+IFERROR(IF(ISBLANK(VLOOKUP(CONCATENATE($F7,"_",AB$4),PAAC_2,MATCH(AB$3,PAAC!$E$19:$T$19,0),0)),"",VLOOKUP(CONCATENATE($F7,"_",AB$4),PAAC_2,MATCH(AB$3,PAAC!$E$19:$T$19,0),0)),"")</f>
        <v>No Aplica</v>
      </c>
      <c r="AC7" t="str">
        <f>+IFERROR(IF(ISBLANK(VLOOKUP(CONCATENATE($F7,"_",AC$4),PAAC_2,MATCH(AC$3,PAAC!$E$19:$T$19,0),0)),"",VLOOKUP(CONCATENATE($F7,"_",AC$4),PAAC_2,MATCH(AC$3,PAAC!$E$19:$T$19,0),0)),"")</f>
        <v>No Aplica</v>
      </c>
      <c r="AD7" t="str">
        <f>+IFERROR(IF(ISBLANK(VLOOKUP(CONCATENATE($F7,"_",AD$4),PAAC_2,MATCH(AD$3,PAAC!$E$19:$T$19,0),0)),"",VLOOKUP(CONCATENATE($F7,"_",AD$4),PAAC_2,MATCH(AD$3,PAAC!$E$19:$T$19,0),0)),"")</f>
        <v/>
      </c>
      <c r="AE7" t="str">
        <f>+IFERROR(IF(ISBLANK(VLOOKUP(CONCATENATE($F7,"_",AE$4),PAAC_2,MATCH(AE$3,PAAC!$E$19:$T$19,0),0)),"",VLOOKUP(CONCATENATE($F7,"_",AE$4),PAAC_2,MATCH(AE$3,PAAC!$E$19:$T$19,0),0)),"")</f>
        <v/>
      </c>
      <c r="AF7" t="str">
        <f>+IFERROR(IF(ISBLANK(VLOOKUP(CONCATENATE($F7,"_",AF$4),PAAC_2,MATCH(AF$3,PAAC!$E$19:$T$19,0),0)),"",VLOOKUP(CONCATENATE($F7,"_",AF$4),PAAC_2,MATCH(AF$3,PAAC!$E$19:$T$19,0),0)),"")</f>
        <v>No Aplica</v>
      </c>
      <c r="AG7" t="str">
        <f>+IFERROR(IF(ISBLANK(VLOOKUP(CONCATENATE($F7,"_",AG$4),PAAC_2,MATCH(AG$3,PAAC!$E$19:$T$19,0),0)),"",VLOOKUP(CONCATENATE($F7,"_",AG$4),PAAC_2,MATCH(AG$3,PAAC!$E$19:$T$19,0),0)),"")</f>
        <v>No Aplica</v>
      </c>
      <c r="AH7" t="str">
        <f>+IFERROR(IF(ISBLANK(VLOOKUP(CONCATENATE($F7,"_",AH$4),PAAC_2,MATCH(AH$3,PAAC!$E$19:$T$19,0),0)),"",VLOOKUP(CONCATENATE($F7,"_",AH$4),PAAC_2,MATCH(AH$3,PAAC!$E$19:$T$19,0),0)),"")</f>
        <v>No Aplica</v>
      </c>
      <c r="AI7" t="str">
        <f>+IFERROR(IF(ISBLANK(VLOOKUP(CONCATENATE($F7,"_",AI$4),PAAC_2,MATCH(AI$3,PAAC!$E$19:$T$19,0),0)),"",VLOOKUP(CONCATENATE($F7,"_",AI$4),PAAC_2,MATCH(AI$3,PAAC!$E$19:$T$19,0),0)),"")</f>
        <v/>
      </c>
      <c r="AJ7" t="str">
        <f>+IFERROR(IF(ISBLANK(VLOOKUP(CONCATENATE($F7,"_",AJ$4),PAAC_2,MATCH(AJ$3,PAAC!$E$19:$T$19,0),0)),"",VLOOKUP(CONCATENATE($F7,"_",AJ$4),PAAC_2,MATCH(AJ$3,PAAC!$E$19:$T$19,0),0)),"")</f>
        <v/>
      </c>
      <c r="AK7" t="str">
        <f>+IFERROR(IF(ISBLANK(VLOOKUP(CONCATENATE($F7,"_",AK$4),PAAC_2,MATCH(AK$3,PAAC!$E$19:$T$19,0),0)),"",VLOOKUP(CONCATENATE($F7,"_",AK$4),PAAC_2,MATCH(AK$3,PAAC!$E$19:$T$19,0),0)),"")</f>
        <v>No Aplica</v>
      </c>
      <c r="AL7" t="str">
        <f>+IFERROR(IF(ISBLANK(VLOOKUP(CONCATENATE($F7,"_",AL$4),PAAC_2,MATCH(AL$3,PAAC!$E$19:$T$19,0),0)),"",VLOOKUP(CONCATENATE($F7,"_",AL$4),PAAC_2,MATCH(AL$3,PAAC!$E$19:$T$19,0),0)),"")</f>
        <v>No Aplica</v>
      </c>
      <c r="AM7" t="str">
        <f>+IFERROR(IF(ISBLANK(VLOOKUP(CONCATENATE($F7,"_",AM$4),PAAC_2,MATCH(AM$3,PAAC!$E$19:$T$19,0),0)),"",VLOOKUP(CONCATENATE($F7,"_",AM$4),PAAC_2,MATCH(AM$3,PAAC!$E$19:$T$19,0),0)),"")</f>
        <v>No Aplica</v>
      </c>
      <c r="AN7" t="str">
        <f>+IFERROR(IF(ISBLANK(VLOOKUP(CONCATENATE($F7,"_",AN$4),PAAC_2,MATCH(AN$3,PAAC!$E$19:$T$19,0),0)),"",VLOOKUP(CONCATENATE($F7,"_",AN$4),PAAC_2,MATCH(AN$3,PAAC!$E$19:$T$19,0),0)),"")</f>
        <v/>
      </c>
      <c r="AO7" t="str">
        <f>+IFERROR(IF(ISBLANK(VLOOKUP(CONCATENATE($F7,"_",AO$4),PAAC_2,MATCH(AO$3,PAAC!$E$19:$T$19,0),0)),"",VLOOKUP(CONCATENATE($F7,"_",AO$4),PAAC_2,MATCH(AO$3,PAAC!$E$19:$T$19,0),0)),"")</f>
        <v/>
      </c>
      <c r="AP7" t="str">
        <f>+IFERROR(IF(ISBLANK(VLOOKUP(CONCATENATE($F7,"_",AP$4),PAAC_2,MATCH(AP$3,PAAC!$E$19:$T$19,0),0)),"",VLOOKUP(CONCATENATE($F7,"_",AP$4),PAAC_2,MATCH(AP$3,PAAC!$E$19:$T$19,0),0)),"")</f>
        <v>No Aplica</v>
      </c>
      <c r="AQ7" t="str">
        <f>+IFERROR(IF(ISBLANK(VLOOKUP(CONCATENATE($F7,"_",AQ$4),PAAC_2,MATCH(AQ$3,PAAC!$E$19:$T$19,0),0)),"",VLOOKUP(CONCATENATE($F7,"_",AQ$4),PAAC_2,MATCH(AQ$3,PAAC!$E$19:$T$19,0),0)),"")</f>
        <v>No Aplica</v>
      </c>
      <c r="AR7" t="str">
        <f>+IFERROR(IF(ISBLANK(VLOOKUP(CONCATENATE($F7,"_",AR$4),PAAC_2,MATCH(AR$3,PAAC!$E$19:$T$19,0),0)),"",VLOOKUP(CONCATENATE($F7,"_",AR$4),PAAC_2,MATCH(AR$3,PAAC!$E$19:$T$19,0),0)),"")</f>
        <v>No Aplica</v>
      </c>
      <c r="AS7">
        <f>+IFERROR(IF(ISBLANK(VLOOKUP(CONCATENATE($F7,"_",AS$4),PAAC_2,MATCH(AS$3,PAAC!$E$19:$T$19,0),0)),"",VLOOKUP(CONCATENATE($F7,"_",AS$4),PAAC_2,MATCH(AS$3,PAAC!$E$19:$T$19,0),0)),"")</f>
        <v>2</v>
      </c>
      <c r="AT7">
        <f>+IFERROR(IF(ISBLANK(VLOOKUP(CONCATENATE($F7,"_",AT$4),PAAC_2,MATCH(AT$3,PAAC!$E$19:$T$19,0),0)),"",VLOOKUP(CONCATENATE($F7,"_",AT$4),PAAC_2,MATCH(AT$3,PAAC!$E$19:$T$19,0),0)),"")</f>
        <v>2</v>
      </c>
      <c r="AU7" t="str">
        <f>+IFERROR(IF(ISBLANK(VLOOKUP(CONCATENATE($F7,"_",AU$4),PAAC_2,MATCH(AU$3,PAAC!$E$19:$T$19,0),0)),"",VLOOKUP(CONCATENATE($F7,"_",AU$4),PAAC_2,MATCH(AU$3,PAAC!$E$19:$T$19,0),0)),"")</f>
        <v>Se realizó la racionalización de los trámites de la entidad a saber: Suscrpción y venta del registro distrital y publicación de actos administrativos en el registro distrital, (trámites a cargo de la Subdirección de Imprenta Distrital). El proceso contó con la actualización en la plataforma SUIT, con el respectivo monitoreo y seguimiento</v>
      </c>
      <c r="AV7" t="str">
        <f>+IFERROR(IF(ISBLANK(VLOOKUP(CONCATENATE($F7,"_",AV$4),PAAC_2,MATCH(AV$3,PAAC!$E$19:$T$19,0),0)),"",VLOOKUP(CONCATENATE($F7,"_",AV$4),PAAC_2,MATCH(AV$3,PAAC!$E$19:$T$19,0),0)),"")</f>
        <v>Por efectos de la emergencia sanitaria se han presentado dificultades para la ralización de las actividades pero se han podido solucionar con el uso de la tecnología</v>
      </c>
      <c r="AW7" t="str">
        <f>+IFERROR(IF(ISBLANK(VLOOKUP(CONCATENATE($F7,"_",AW$4),PAAC_2,MATCH(AW$3,PAAC!$E$19:$T$19,0),0)),"",VLOOKUP(CONCATENATE($F7,"_",AW$4),PAAC_2,MATCH(AW$3,PAAC!$E$19:$T$19,0),0)),"")</f>
        <v>La racionalización del proceso de suscripción y registro en el Sistema Único de Información de Trámites generó como beneficio, la simplificación del trámite ya que las solicitudes de "suscripción y venta del registro Distrital", se pueden realizar de manera virtual y conforme a la activación de los roles de funcionamiento que operan en el sistema por parte de las entidades, organos y organismos distritales.
La racionalización del proceso de suscripción y registro en el Sistema Único de Información de Trámites generó como beneficio, la simplificación del trámite ya que las solicitudes de publicación de actos o documentos administrativos, se puede realizar de manera virtual y conforme a la activación de los roles de funcionamiento que operan en el sistema por parte de las entidades, organos y organismos distritales.</v>
      </c>
      <c r="AX7">
        <f>+IFERROR(IF(ISBLANK(VLOOKUP(CONCATENATE($F7,"_",AX$4),PAAC_2,MATCH(AX$3,PAAC!$E$19:$T$19,0),0)),"",VLOOKUP(CONCATENATE($F7,"_",AX$4),PAAC_2,MATCH(AX$3,PAAC!$E$19:$T$19,0),0)),"")</f>
        <v>0</v>
      </c>
      <c r="AY7">
        <f>+IFERROR(IF(ISBLANK(VLOOKUP(CONCATENATE($F7,"_",AY$4),PAAC_2,MATCH(AY$3,PAAC!$E$19:$T$19,0),0)),"",VLOOKUP(CONCATENATE($F7,"_",AY$4),PAAC_2,MATCH(AY$3,PAAC!$E$19:$T$19,0),0)),"")</f>
        <v>0</v>
      </c>
      <c r="AZ7" t="str">
        <f>+IFERROR(IF(ISBLANK(VLOOKUP(CONCATENATE($F7,"_",AZ$4),PAAC_2,MATCH(AZ$3,PAAC!$E$19:$T$19,0),0)),"",VLOOKUP(CONCATENATE($F7,"_",AZ$4),PAAC_2,MATCH(AZ$3,PAAC!$E$19:$T$19,0),0)),"")</f>
        <v>No Aplica</v>
      </c>
      <c r="BA7" t="str">
        <f>+IFERROR(IF(ISBLANK(VLOOKUP(CONCATENATE($F7,"_",BA$4),PAAC_2,MATCH(BA$3,PAAC!$E$19:$T$19,0),0)),"",VLOOKUP(CONCATENATE($F7,"_",BA$4),PAAC_2,MATCH(BA$3,PAAC!$E$19:$T$19,0),0)),"")</f>
        <v>No Aplica</v>
      </c>
      <c r="BB7" t="str">
        <f>+IFERROR(IF(ISBLANK(VLOOKUP(CONCATENATE($F7,"_",BB$4),PAAC_2,MATCH(BB$3,PAAC!$E$19:$T$19,0),0)),"",VLOOKUP(CONCATENATE($F7,"_",BB$4),PAAC_2,MATCH(BB$3,PAAC!$E$19:$T$19,0),0)),"")</f>
        <v>No Aplica</v>
      </c>
      <c r="BC7">
        <f>+SUMIF($Y$4:$BB$4,BC$4,$Y7:$BB7)</f>
        <v>2</v>
      </c>
      <c r="BD7">
        <f t="shared" ref="BC7:BD69" si="10">+SUMIF($Y$4:$BB$4,BD$4,$Y7:$BB7)</f>
        <v>2</v>
      </c>
      <c r="BE7" s="129" t="str">
        <f>+IFERROR(IF(ISBLANK(VLOOKUP(CONCATENATE($F7,"_",BE$4),P1081_4,MATCH(BE$3,PAAC!$E$19:$M$19,0),0)),"",VLOOKUP(CONCATENATE($F7,"_",BE$4),P1081_4,MATCH(BE$3,PAAC!$E$19:$M$19,0),0)),"")</f>
        <v/>
      </c>
      <c r="BF7" s="129" t="str">
        <f>+IFERROR(IF(ISBLANK(VLOOKUP(CONCATENATE($F7,"_",BF$4),P1081_4,MATCH(BF$3,PAAC!$E$19:$M$19,0),0)),"",VLOOKUP(CONCATENATE($F7,"_",BF$4),P1081_4,MATCH(BF$3,PAAC!$E$19:$M$19,0),0)),"")</f>
        <v/>
      </c>
      <c r="BG7" s="129" t="str">
        <f>+IFERROR(IF(ISBLANK(VLOOKUP(CONCATENATE($F7,"_",BG$4),P1081_4,MATCH(BG$3,PAAC!$E$19:$M$19,0),0)),"",VLOOKUP(CONCATENATE($F7,"_",BG$4),P1081_4,MATCH(BG$3,PAAC!$E$19:$M$19,0),0)),"")</f>
        <v/>
      </c>
      <c r="BH7" s="129" t="str">
        <f>+IFERROR(IF(ISBLANK(VLOOKUP(CONCATENATE($F7,"_",BH$4),P1081_4,MATCH(BH$3,PAAC!$E$19:$M$19,0),0)),"",VLOOKUP(CONCATENATE($F7,"_",BH$4),P1081_4,MATCH(BH$3,PAAC!$E$19:$M$19,0),0)),"")</f>
        <v/>
      </c>
      <c r="BI7" s="129" t="str">
        <f>+IFERROR(IF(ISBLANK(VLOOKUP(CONCATENATE($F7,"_",BI$4),P1081_4,MATCH(BI$3,PAAC!$E$19:$M$19,0),0)),"",VLOOKUP(CONCATENATE($F7,"_",BI$4),P1081_4,MATCH(BI$3,PAAC!$E$19:$M$19,0),0)),"")</f>
        <v/>
      </c>
      <c r="BJ7" s="129" t="str">
        <f>+IFERROR(IF(ISBLANK(VLOOKUP(CONCATENATE($F7,"_",BJ$4),P1081_4,MATCH(BJ$3,PAAC!$E$19:$M$19,0),0)),"",VLOOKUP(CONCATENATE($F7,"_",BJ$4),P1081_4,MATCH(BJ$3,PAAC!$E$19:$M$19,0),0)),"")</f>
        <v/>
      </c>
      <c r="BK7" s="129" t="str">
        <f>+IFERROR(IF(ISBLANK(VLOOKUP(CONCATENATE($F7,"_",BK$4),P1081_4,MATCH(BK$3,PAAC!$E$19:$M$19,0),0)),"",VLOOKUP(CONCATENATE($F7,"_",BK$4),P1081_4,MATCH(BK$3,PAAC!$E$19:$M$19,0),0)),"")</f>
        <v/>
      </c>
      <c r="BL7" s="129" t="str">
        <f>+IFERROR(IF(ISBLANK(VLOOKUP(CONCATENATE($F7,"_",BL$4),P1081_4,MATCH(BL$3,PAAC!$E$19:$M$19,0),0)),"",VLOOKUP(CONCATENATE($F7,"_",BL$4),P1081_4,MATCH(BL$3,PAAC!$E$19:$M$19,0),0)),"")</f>
        <v/>
      </c>
      <c r="BM7" s="129" t="str">
        <f>+IFERROR(IF(ISBLANK(VLOOKUP(CONCATENATE($F7,"_",BM$4),P1081_4,MATCH(BM$3,PAAC!$E$19:$M$19,0),0)),"",VLOOKUP(CONCATENATE($F7,"_",BM$4),P1081_4,MATCH(BM$3,PAAC!$E$19:$M$19,0),0)),"")</f>
        <v/>
      </c>
      <c r="BN7" s="129" t="str">
        <f>+IFERROR(IF(ISBLANK(VLOOKUP(CONCATENATE($F7,"_",BN$4),P1081_4,MATCH(BN$3,PAAC!$E$19:$M$19,0),0)),"",VLOOKUP(CONCATENATE($F7,"_",BN$4),P1081_4,MATCH(BN$3,PAAC!$E$19:$M$19,0),0)),"")</f>
        <v/>
      </c>
      <c r="BO7" s="129" t="str">
        <f>+IFERROR(IF(ISBLANK(VLOOKUP(CONCATENATE($F7,"_",BO$4),P1081_4,MATCH(BO$3,PAAC!$E$19:$M$19,0),0)),"",VLOOKUP(CONCATENATE($F7,"_",BO$4),P1081_4,MATCH(BO$3,PAAC!$E$19:$M$19,0),0)),"")</f>
        <v/>
      </c>
      <c r="BP7" s="129" t="str">
        <f>+IFERROR(IF(ISBLANK(VLOOKUP(CONCATENATE($F7,"_",BP$4),P1081_4,MATCH(BP$3,PAAC!$E$19:$M$19,0),0)),"",VLOOKUP(CONCATENATE($F7,"_",BP$4),P1081_4,MATCH(BP$3,PAAC!$E$19:$M$19,0),0)),"")</f>
        <v/>
      </c>
      <c r="BQ7" s="129" t="str">
        <f>+IFERROR(IF(ISBLANK(VLOOKUP(CONCATENATE($F7,"_",BQ$4),P1081_4,MATCH(BQ$3,PAAC!$E$19:$M$19,0),0)),"",VLOOKUP(CONCATENATE($F7,"_",BQ$4),P1081_4,MATCH(BQ$3,PAAC!$E$19:$M$19,0),0)),"")</f>
        <v/>
      </c>
      <c r="BR7" s="129" t="str">
        <f>+IFERROR(IF(ISBLANK(VLOOKUP(CONCATENATE($F7,"_",BR$4),P1081_4,MATCH(BR$3,PAAC!$E$19:$M$19,0),0)),"",VLOOKUP(CONCATENATE($F7,"_",BR$4),P1081_4,MATCH(BR$3,PAAC!$E$19:$M$19,0),0)),"")</f>
        <v/>
      </c>
      <c r="BS7" s="129" t="str">
        <f>+IFERROR(IF(ISBLANK(VLOOKUP(CONCATENATE($F7,"_",BS$4),P1081_4,MATCH(BS$3,PAAC!$E$19:$M$19,0),0)),"",VLOOKUP(CONCATENATE($F7,"_",BS$4),P1081_4,MATCH(BS$3,PAAC!$E$19:$M$19,0),0)),"")</f>
        <v/>
      </c>
      <c r="BT7" s="129" t="str">
        <f>+IFERROR(IF(ISBLANK(VLOOKUP(CONCATENATE($F7,"_",BT$4),P1081_4,MATCH(BT$3,PAAC!$E$19:$M$19,0),0)),"",VLOOKUP(CONCATENATE($F7,"_",BT$4),P1081_4,MATCH(BT$3,PAAC!$E$19:$M$19,0),0)),"")</f>
        <v/>
      </c>
      <c r="BU7" s="129" t="str">
        <f>+IFERROR(IF(ISBLANK(VLOOKUP(CONCATENATE($F7,"_",BU$4),P1081_4,MATCH(BU$3,PAAC!$E$19:$M$19,0),0)),"",VLOOKUP(CONCATENATE($F7,"_",BU$4),P1081_4,MATCH(BU$3,PAAC!$E$19:$M$19,0),0)),"")</f>
        <v/>
      </c>
      <c r="BV7" s="129" t="str">
        <f>+IFERROR(IF(ISBLANK(VLOOKUP(CONCATENATE($F7,"_",BV$4),P1081_4,MATCH(BV$3,PAAC!$E$19:$M$19,0),0)),"",VLOOKUP(CONCATENATE($F7,"_",BV$4),P1081_4,MATCH(BV$3,PAAC!$E$19:$M$19,0),0)),"")</f>
        <v/>
      </c>
      <c r="BW7" s="129" t="str">
        <f>+IFERROR(IF(ISBLANK(VLOOKUP(CONCATENATE($F7,"_",BW$4),P1081_4,MATCH(BW$3,PAAC!$E$19:$M$19,0),0)),"",VLOOKUP(CONCATENATE($F7,"_",BW$4),P1081_4,MATCH(BW$3,PAAC!$E$19:$M$19,0),0)),"")</f>
        <v/>
      </c>
      <c r="BX7" s="129" t="str">
        <f>+IFERROR(IF(ISBLANK(VLOOKUP(CONCATENATE($F7,"_",BX$4),P1081_4,MATCH(BX$3,PAAC!$E$19:$M$19,0),0)),"",VLOOKUP(CONCATENATE($F7,"_",BX$4),P1081_4,MATCH(BX$3,PAAC!$E$19:$M$19,0),0)),"")</f>
        <v/>
      </c>
      <c r="BY7" s="129" t="str">
        <f>+IFERROR(IF(ISBLANK(VLOOKUP(CONCATENATE($F7,"_",BY$4),P1081_4,MATCH(BY$3,PAAC!$E$19:$M$19,0),0)),"",VLOOKUP(CONCATENATE($F7,"_",BY$4),P1081_4,MATCH(BY$3,PAAC!$E$19:$M$19,0),0)),"")</f>
        <v/>
      </c>
      <c r="BZ7" s="129" t="str">
        <f>+IFERROR(IF(ISBLANK(VLOOKUP(CONCATENATE($F7,"_",BZ$4),P1081_4,MATCH(BZ$3,PAAC!$E$19:$M$19,0),0)),"",VLOOKUP(CONCATENATE($F7,"_",BZ$4),P1081_4,MATCH(BZ$3,PAAC!$E$19:$M$19,0),0)),"")</f>
        <v/>
      </c>
      <c r="CA7" s="129" t="str">
        <f>+IFERROR(IF(ISBLANK(VLOOKUP(CONCATENATE($F7,"_",CA$4),P1081_4,MATCH(CA$3,PAAC!$E$19:$M$19,0),0)),"",VLOOKUP(CONCATENATE($F7,"_",CA$4),P1081_4,MATCH(CA$3,PAAC!$E$19:$M$19,0),0)),"")</f>
        <v/>
      </c>
      <c r="CB7" s="129" t="str">
        <f>+IFERROR(IF(ISBLANK(VLOOKUP(CONCATENATE($F7,"_",CB$4),P1081_4,MATCH(CB$3,PAAC!$E$19:$M$19,0),0)),"",VLOOKUP(CONCATENATE($F7,"_",CB$4),P1081_4,MATCH(CB$3,PAAC!$E$19:$M$19,0),0)),"")</f>
        <v/>
      </c>
      <c r="CC7" s="129" t="str">
        <f>+IFERROR(IF(ISBLANK(VLOOKUP(CONCATENATE($F7,"_",CC$4),P1081_4,MATCH(CC$3,PAAC!$E$19:$M$19,0),0)),"",VLOOKUP(CONCATENATE($F7,"_",CC$4),P1081_4,MATCH(CC$3,PAAC!$E$19:$M$19,0),0)),"")</f>
        <v/>
      </c>
      <c r="CD7" s="129" t="str">
        <f t="shared" ref="CD7:CD58" si="11">+IF(BY7&lt;&gt;"",BY7,IF(BT7&lt;&gt;"",BT7,IF(BO7&lt;&gt;"",BO7,IF(BJ7&lt;&gt;"",BJ7,BE7))))</f>
        <v/>
      </c>
      <c r="CE7" s="129" t="str">
        <f t="shared" si="3"/>
        <v/>
      </c>
      <c r="CF7" s="129" t="str">
        <f t="shared" si="4"/>
        <v/>
      </c>
      <c r="CG7" s="129" t="str">
        <f t="shared" si="5"/>
        <v/>
      </c>
      <c r="CH7" s="129" t="str">
        <f t="shared" si="6"/>
        <v/>
      </c>
      <c r="CI7" t="str">
        <f t="shared" ref="CI7:CR11" si="12">+VLOOKUP($F7,PAAC_R,CI$4,0)</f>
        <v>Cumple</v>
      </c>
      <c r="CJ7" t="str">
        <f t="shared" si="12"/>
        <v>Cumplido</v>
      </c>
      <c r="CK7" t="str">
        <f t="shared" si="12"/>
        <v>Adecuado</v>
      </c>
      <c r="CL7" t="str">
        <f t="shared" si="12"/>
        <v>Coherente</v>
      </c>
      <c r="CM7" t="str">
        <f t="shared" si="12"/>
        <v>Concuerda</v>
      </c>
      <c r="CN7" t="str">
        <f t="shared" si="12"/>
        <v>Indeterminado</v>
      </c>
      <c r="CO7" t="str">
        <f t="shared" si="12"/>
        <v>No aplica</v>
      </c>
      <c r="CP7" t="str">
        <f t="shared" si="12"/>
        <v>Adecuado</v>
      </c>
      <c r="CQ7" t="str">
        <f t="shared" si="12"/>
        <v>Oportuna</v>
      </c>
      <c r="CR7" t="str">
        <f t="shared" si="12"/>
        <v xml:space="preserve">El reporte de las evidencias debería guardar correspondencia con el número de las actividades ejecutadas, de manera que sean fácilmente verificables. Para el mes de mayo se reportan 2 actividades realizadas de 2 programadas y en una sola carpeta de evidencias que contiene 20 archivos. El avance cualitativo no señala a qué actividades corresponden el avance del indicador, lo que podría facilitar el cotejo de evidencias. Dado que se ha cumplido con el indicador no debería hacerse una declaración de dificultades en el avance. </v>
      </c>
      <c r="CS7" t="str">
        <f t="shared" ref="CS7:DB11" si="13">+VLOOKUP($F7,PAAC_R,CS$4,0)</f>
        <v>Fernando Escobar Mendoza</v>
      </c>
      <c r="CT7" t="str">
        <f t="shared" si="13"/>
        <v>No aplica</v>
      </c>
      <c r="CU7" t="str">
        <f t="shared" si="13"/>
        <v>No programó</v>
      </c>
      <c r="CV7" t="str">
        <f t="shared" si="13"/>
        <v>No aplica</v>
      </c>
      <c r="CW7" t="str">
        <f t="shared" si="13"/>
        <v>No aplica</v>
      </c>
      <c r="CX7" t="str">
        <f t="shared" si="13"/>
        <v>No aplica</v>
      </c>
      <c r="CY7" t="str">
        <f t="shared" si="13"/>
        <v>No aplica</v>
      </c>
      <c r="CZ7" t="str">
        <f t="shared" si="13"/>
        <v>No aplica</v>
      </c>
      <c r="DA7" t="str">
        <f t="shared" si="13"/>
        <v>No aplica</v>
      </c>
      <c r="DB7" t="str">
        <f t="shared" si="13"/>
        <v>Oportuna</v>
      </c>
      <c r="DC7" t="str">
        <f t="shared" ref="DC7:DL11" si="14">+VLOOKUP($F7,PAAC_R,DC$4,0)</f>
        <v>Niniguna</v>
      </c>
      <c r="DD7" t="str">
        <f t="shared" si="14"/>
        <v>Fernando Escobar Mendoza</v>
      </c>
      <c r="DE7" t="e">
        <f t="shared" si="14"/>
        <v>#REF!</v>
      </c>
      <c r="DF7" t="e">
        <f t="shared" si="14"/>
        <v>#REF!</v>
      </c>
      <c r="DG7" t="e">
        <f t="shared" si="14"/>
        <v>#REF!</v>
      </c>
      <c r="DH7" t="e">
        <f t="shared" si="14"/>
        <v>#REF!</v>
      </c>
      <c r="DI7" t="e">
        <f t="shared" si="14"/>
        <v>#REF!</v>
      </c>
      <c r="DJ7" t="e">
        <f t="shared" si="14"/>
        <v>#REF!</v>
      </c>
      <c r="DK7" t="e">
        <f t="shared" si="14"/>
        <v>#REF!</v>
      </c>
      <c r="DL7" t="e">
        <f t="shared" si="14"/>
        <v>#REF!</v>
      </c>
      <c r="DM7" t="e">
        <f t="shared" ref="DM7:DX11" si="15">+VLOOKUP($F7,PAAC_R,DM$4,0)</f>
        <v>#REF!</v>
      </c>
      <c r="DN7" t="e">
        <f t="shared" si="15"/>
        <v>#REF!</v>
      </c>
      <c r="DO7" t="e">
        <f t="shared" si="15"/>
        <v>#REF!</v>
      </c>
      <c r="DP7" t="e">
        <f t="shared" si="15"/>
        <v>#REF!</v>
      </c>
      <c r="DQ7" t="e">
        <f t="shared" si="15"/>
        <v>#REF!</v>
      </c>
      <c r="DR7" t="e">
        <f t="shared" si="15"/>
        <v>#REF!</v>
      </c>
      <c r="DS7" t="e">
        <f t="shared" si="15"/>
        <v>#REF!</v>
      </c>
      <c r="DT7" t="e">
        <f t="shared" si="15"/>
        <v>#REF!</v>
      </c>
      <c r="DU7" t="e">
        <f t="shared" si="15"/>
        <v>#REF!</v>
      </c>
      <c r="DV7" t="e">
        <f t="shared" si="15"/>
        <v>#REF!</v>
      </c>
      <c r="DW7" t="e">
        <f t="shared" si="15"/>
        <v>#REF!</v>
      </c>
      <c r="DX7" t="e">
        <f t="shared" si="15"/>
        <v>#REF!</v>
      </c>
    </row>
    <row r="8" spans="1:129" x14ac:dyDescent="0.3">
      <c r="A8" s="423" t="str">
        <f>+F8</f>
        <v>03_PAAC</v>
      </c>
      <c r="B8" t="str">
        <f>+C8&amp;"_"&amp;D8</f>
        <v>3_Oficina Asesora de Planeación</v>
      </c>
      <c r="C8">
        <f t="shared" si="8"/>
        <v>3</v>
      </c>
      <c r="D8" t="str">
        <f t="shared" si="0"/>
        <v>Oficina Asesora de Planeación</v>
      </c>
      <c r="E8" t="str">
        <f t="shared" si="1"/>
        <v>oap</v>
      </c>
      <c r="F8" s="208" t="str">
        <f>+PAAC!C12</f>
        <v>03_PAAC</v>
      </c>
      <c r="G8" t="str">
        <f t="shared" si="2"/>
        <v>Constante</v>
      </c>
      <c r="H8" t="str">
        <f t="shared" si="2"/>
        <v>Porcentaje</v>
      </c>
      <c r="I8" t="str">
        <f t="shared" si="2"/>
        <v>No Disponible / No Aplica</v>
      </c>
      <c r="J8" t="str">
        <f t="shared" si="2"/>
        <v>No Disponible / No Aplica</v>
      </c>
      <c r="K8" t="str">
        <f>+IFERROR(VLOOKUP($F8,PAAC_1,MATCH(K$5,PAAC!$C$9:$AA$9,0),0),"")</f>
        <v>Suma</v>
      </c>
      <c r="L8">
        <f>+IFERROR(VLOOKUP($F8,PAAC_1,MATCH(L$5,PAAC!$C$9:$AA$9,0),0),"")</f>
        <v>21</v>
      </c>
      <c r="M8">
        <f t="shared" si="9"/>
        <v>5</v>
      </c>
      <c r="N8">
        <f>+IFERROR(VLOOKUP($F8,PAAC_1,MATCH(N$5,PAAC!$C$9:$AA$9,0),0),"")</f>
        <v>1</v>
      </c>
      <c r="O8">
        <f>+IFERROR(VLOOKUP($F8,PAAC_1,MATCH(O$5,PAAC!$C$9:$AA$9,0),0),"")</f>
        <v>2</v>
      </c>
      <c r="P8">
        <f>+IFERROR(VLOOKUP($F8,PAAC_1,MATCH(P$5,PAAC!$C$9:$AA$9,0),0),"")</f>
        <v>2</v>
      </c>
      <c r="Q8">
        <f>+IFERROR(VLOOKUP($F8,PAAC_1,MATCH(Q$5,PAAC!$C$9:$AA$9,0),0),"")</f>
        <v>1</v>
      </c>
      <c r="R8">
        <f>+IFERROR(VLOOKUP($F8,PAAC_1,MATCH(R$5,PAAC!$C$9:$AA$9,0),0),"")</f>
        <v>1</v>
      </c>
      <c r="S8">
        <f>+IFERROR(VLOOKUP($F8,PAAC_1,MATCH(S$5,PAAC!$C$9:$AA$9,0),0),"")</f>
        <v>2</v>
      </c>
      <c r="T8">
        <f>+IFERROR(VLOOKUP($F8,PAAC_1,MATCH(T$5,PAAC!$C$9:$AA$9,0),0),"")</f>
        <v>100</v>
      </c>
      <c r="U8" t="str">
        <f>+IFERROR(VLOOKUP($F8,PAAC_1,MATCH(U$5,PAAC!$C$9:$AA$9,0),0),"")</f>
        <v>Este indicador mide el avance en la ejecución de las actividades programadas en la vigencia, para el Componente 3 del Plan Anticorrupción y Atención al Ciudadano en la Secretaria General de la Alcaldía Mayor de Bogotá D.C.</v>
      </c>
      <c r="V8" t="str">
        <f>+IFERROR(VLOOKUP($F8,PAAC_1,MATCH(V$5,PAAC!$C$9:$AA$9,0),0),"")</f>
        <v>Prestar apoyo técnico a las dependencias en lo relacionado con la formulación y el desarrollo de las actividades asociadas al componente 3 del Plan Anticorrupción y Atención al Ciudadano.
Hacer monitoreo y seguimiento a las dependencias responsables de la ejecución de las actividades programadas en el componenente 3 del Plan Anticorrupción y Atención al Ciudadano.</v>
      </c>
      <c r="W8" t="str">
        <f>+IFERROR(VLOOKUP($F8,PAAC_1,MATCH(W$5,PAAC!$C$9:$AA$9,0),0),"")</f>
        <v>Afianzar la relación entre la ciudadanía y la entidad, donde se informe, explique y se dé a conocer los resultados de la gestión al ciudadano, la sociedad civil, otras entidades públicas y a los organismos de control</v>
      </c>
      <c r="X8" t="str">
        <f>+IFERROR(VLOOKUP($F8,PAAC_1,MATCH(X$5,PAAC!$C$9:$AA$9,0),0),"")</f>
        <v>Botón de transparencia de la página web de la Secretaría General
Reportes de las dependencias</v>
      </c>
      <c r="Y8">
        <f>+IFERROR(IF(ISBLANK(VLOOKUP(CONCATENATE($F8,"_",Y$4),PAAC_2,MATCH(Y$3,PAAC!$E$19:$T$19,0),0)),"",VLOOKUP(CONCATENATE($F8,"_",Y$4),PAAC_2,MATCH(Y$3,PAAC!$E$19:$T$19,0),0)),"")</f>
        <v>1</v>
      </c>
      <c r="Z8">
        <f>+IFERROR(IF(ISBLANK(VLOOKUP(CONCATENATE($F8,"_",Z$4),PAAC_2,MATCH(Z$3,PAAC!$E$19:$T$19,0),0)),"",VLOOKUP(CONCATENATE($F8,"_",Z$4),PAAC_2,MATCH(Z$3,PAAC!$E$19:$T$19,0),0)),"")</f>
        <v>1</v>
      </c>
      <c r="AA8" t="str">
        <f>+IFERROR(IF(ISBLANK(VLOOKUP(CONCATENATE($F8,"_",AA$4),PAAC_2,MATCH(AA$3,PAAC!$E$19:$T$19,0),0)),"",VLOOKUP(CONCATENATE($F8,"_",AA$4),PAAC_2,MATCH(AA$3,PAAC!$E$19:$T$19,0),0)),"")</f>
        <v xml:space="preserve">La ejecución se ha venido realizando conforme a la programción establecida con el ánimo de fortalecer  la cultura de rendición de cuentas en la entidad para ello se realizaron mesas territoriales de diálogo ciudadano </v>
      </c>
      <c r="AB8" t="str">
        <f>+IFERROR(IF(ISBLANK(VLOOKUP(CONCATENATE($F8,"_",AB$4),PAAC_2,MATCH(AB$3,PAAC!$E$19:$T$19,0),0)),"",VLOOKUP(CONCATENATE($F8,"_",AB$4),PAAC_2,MATCH(AB$3,PAAC!$E$19:$T$19,0),0)),"")</f>
        <v>No se presentaron retrasos o dificultades para la realización de las actividades</v>
      </c>
      <c r="AC8" t="str">
        <f>+IFERROR(IF(ISBLANK(VLOOKUP(CONCATENATE($F8,"_",AC$4),PAAC_2,MATCH(AC$3,PAAC!$E$19:$T$19,0),0)),"",VLOOKUP(CONCATENATE($F8,"_",AC$4),PAAC_2,MATCH(AC$3,PAAC!$E$19:$T$19,0),0)),"")</f>
        <v>Las actividades realizadas contribuyen a fortalecer los procesos de rendición de cuentas en los diferentes espacios  de particiacón ciudadana</v>
      </c>
      <c r="AD8">
        <f>+IFERROR(IF(ISBLANK(VLOOKUP(CONCATENATE($F8,"_",AD$4),PAAC_2,MATCH(AD$3,PAAC!$E$19:$T$19,0),0)),"",VLOOKUP(CONCATENATE($F8,"_",AD$4),PAAC_2,MATCH(AD$3,PAAC!$E$19:$T$19,0),0)),"")</f>
        <v>2</v>
      </c>
      <c r="AE8">
        <f>+IFERROR(IF(ISBLANK(VLOOKUP(CONCATENATE($F8,"_",AE$4),PAAC_2,MATCH(AE$3,PAAC!$E$19:$T$19,0),0)),"",VLOOKUP(CONCATENATE($F8,"_",AE$4),PAAC_2,MATCH(AE$3,PAAC!$E$19:$T$19,0),0)),"")</f>
        <v>2</v>
      </c>
      <c r="AF8" t="str">
        <f>+IFERROR(IF(ISBLANK(VLOOKUP(CONCATENATE($F8,"_",AF$4),PAAC_2,MATCH(AF$3,PAAC!$E$19:$T$19,0),0)),"",VLOOKUP(CONCATENATE($F8,"_",AF$4),PAAC_2,MATCH(AF$3,PAAC!$E$19:$T$19,0),0)),"")</f>
        <v>La ejecución se ha venido realizando conforme a la programción establecida con el ánimo de fortalecer  la cultura de rendición de cuentas en la entidad para ello se realizaron mesas territoriales de diálogo ciudadano y se publicó el informe de peticiones ciudadanas para el año 2019</v>
      </c>
      <c r="AG8" t="str">
        <f>+IFERROR(IF(ISBLANK(VLOOKUP(CONCATENATE($F8,"_",AG$4),PAAC_2,MATCH(AG$3,PAAC!$E$19:$T$19,0),0)),"",VLOOKUP(CONCATENATE($F8,"_",AG$4),PAAC_2,MATCH(AG$3,PAAC!$E$19:$T$19,0),0)),"")</f>
        <v>No se presentaron retrasos o dificultades para la realización de las actividades</v>
      </c>
      <c r="AH8" t="str">
        <f>+IFERROR(IF(ISBLANK(VLOOKUP(CONCATENATE($F8,"_",AH$4),PAAC_2,MATCH(AH$3,PAAC!$E$19:$T$19,0),0)),"",VLOOKUP(CONCATENATE($F8,"_",AH$4),PAAC_2,MATCH(AH$3,PAAC!$E$19:$T$19,0),0)),"")</f>
        <v>Las actividades realizadas contribuyen a fortalecer los procesos de rendición de cuentas en los diferentes espacios  de particiacón ciudadana</v>
      </c>
      <c r="AI8">
        <f>+IFERROR(IF(ISBLANK(VLOOKUP(CONCATENATE($F8,"_",AI$4),PAAC_2,MATCH(AI$3,PAAC!$E$19:$T$19,0),0)),"",VLOOKUP(CONCATENATE($F8,"_",AI$4),PAAC_2,MATCH(AI$3,PAAC!$E$19:$T$19,0),0)),"")</f>
        <v>2</v>
      </c>
      <c r="AJ8">
        <f>+IFERROR(IF(ISBLANK(VLOOKUP(CONCATENATE($F8,"_",AJ$4),PAAC_2,MATCH(AJ$3,PAAC!$E$19:$T$19,0),0)),"",VLOOKUP(CONCATENATE($F8,"_",AJ$4),PAAC_2,MATCH(AJ$3,PAAC!$E$19:$T$19,0),0)),"")</f>
        <v>2</v>
      </c>
      <c r="AK8" t="str">
        <f>+IFERROR(IF(ISBLANK(VLOOKUP(CONCATENATE($F8,"_",AK$4),PAAC_2,MATCH(AK$3,PAAC!$E$19:$T$19,0),0)),"",VLOOKUP(CONCATENATE($F8,"_",AK$4),PAAC_2,MATCH(AK$3,PAAC!$E$19:$T$19,0),0)),"")</f>
        <v>La ejecución se ha venido realizando conforme a la programción establecida con el ánimo de fortalecer  la cultura de rendición de cuentas en la entidad para ello se realizaron mesas territoriales de diálogo ciudadano  y formulación del Plan de Participación Ciudadana</v>
      </c>
      <c r="AL8" t="str">
        <f>+IFERROR(IF(ISBLANK(VLOOKUP(CONCATENATE($F8,"_",AL$4),PAAC_2,MATCH(AL$3,PAAC!$E$19:$T$19,0),0)),"",VLOOKUP(CONCATENATE($F8,"_",AL$4),PAAC_2,MATCH(AL$3,PAAC!$E$19:$T$19,0),0)),"")</f>
        <v>Por efectos de la emergencia sanitaria se han presentado dificultades para la ralización de las actividades pero se han podido solucionar con el uso de la tecnología. Se identificó que la actividades de formular el Plan de Participación Ciudadana se podía fortalecer por lo cual se creó en la siguiente versión del PAAC las actividades de validar, socilializar y publicar el plan.</v>
      </c>
      <c r="AM8" t="str">
        <f>+IFERROR(IF(ISBLANK(VLOOKUP(CONCATENATE($F8,"_",AM$4),PAAC_2,MATCH(AM$3,PAAC!$E$19:$T$19,0),0)),"",VLOOKUP(CONCATENATE($F8,"_",AM$4),PAAC_2,MATCH(AM$3,PAAC!$E$19:$T$19,0),0)),"")</f>
        <v>Las actividades realizadas contribuyen a fortalecer los procesos de rendición de cuentas en los diferentes espacios  de particiacón ciudadana</v>
      </c>
      <c r="AN8">
        <f>+IFERROR(IF(ISBLANK(VLOOKUP(CONCATENATE($F8,"_",AN$4),PAAC_2,MATCH(AN$3,PAAC!$E$19:$T$19,0),0)),"",VLOOKUP(CONCATENATE($F8,"_",AN$4),PAAC_2,MATCH(AN$3,PAAC!$E$19:$T$19,0),0)),"")</f>
        <v>1</v>
      </c>
      <c r="AO8">
        <f>+IFERROR(IF(ISBLANK(VLOOKUP(CONCATENATE($F8,"_",AO$4),PAAC_2,MATCH(AO$3,PAAC!$E$19:$T$19,0),0)),"",VLOOKUP(CONCATENATE($F8,"_",AO$4),PAAC_2,MATCH(AO$3,PAAC!$E$19:$T$19,0),0)),"")</f>
        <v>1</v>
      </c>
      <c r="AP8" t="str">
        <f>+IFERROR(IF(ISBLANK(VLOOKUP(CONCATENATE($F8,"_",AP$4),PAAC_2,MATCH(AP$3,PAAC!$E$19:$T$19,0),0)),"",VLOOKUP(CONCATENATE($F8,"_",AP$4),PAAC_2,MATCH(AP$3,PAAC!$E$19:$T$19,0),0)),"")</f>
        <v xml:space="preserve">La ejecución se ha venido realizando conforme a la programción establecida con el ánimo de fortalecer  la cultura de rendición de cuentas en la entidad para ello se elaboró y publicó la Estrategia de Rendición de Cuentas </v>
      </c>
      <c r="AQ8" t="str">
        <f>+IFERROR(IF(ISBLANK(VLOOKUP(CONCATENATE($F8,"_",AQ$4),PAAC_2,MATCH(AQ$3,PAAC!$E$19:$T$19,0),0)),"",VLOOKUP(CONCATENATE($F8,"_",AQ$4),PAAC_2,MATCH(AQ$3,PAAC!$E$19:$T$19,0),0)),"")</f>
        <v>Por efectos de la emergencia sanitaria se han presentado dificultades para la ralización de las actividades pero se han podido solucionar con el uso de la tecnología</v>
      </c>
      <c r="AR8" t="str">
        <f>+IFERROR(IF(ISBLANK(VLOOKUP(CONCATENATE($F8,"_",AR$4),PAAC_2,MATCH(AR$3,PAAC!$E$19:$T$19,0),0)),"",VLOOKUP(CONCATENATE($F8,"_",AR$4),PAAC_2,MATCH(AR$3,PAAC!$E$19:$T$19,0),0)),"")</f>
        <v>Las actividades realizadas contribuyen a fortalecer los procesos de rendición de cuentas en los diferentes espacios  de particiacón ciudadana</v>
      </c>
      <c r="AS8">
        <f>+IFERROR(IF(ISBLANK(VLOOKUP(CONCATENATE($F8,"_",AS$4),PAAC_2,MATCH(AS$3,PAAC!$E$19:$T$19,0),0)),"",VLOOKUP(CONCATENATE($F8,"_",AS$4),PAAC_2,MATCH(AS$3,PAAC!$E$19:$T$19,0),0)),"")</f>
        <v>1</v>
      </c>
      <c r="AT8">
        <f>+IFERROR(IF(ISBLANK(VLOOKUP(CONCATENATE($F8,"_",AT$4),PAAC_2,MATCH(AT$3,PAAC!$E$19:$T$19,0),0)),"",VLOOKUP(CONCATENATE($F8,"_",AT$4),PAAC_2,MATCH(AT$3,PAAC!$E$19:$T$19,0),0)),"")</f>
        <v>1</v>
      </c>
      <c r="AU8" t="str">
        <f>+IFERROR(IF(ISBLANK(VLOOKUP(CONCATENATE($F8,"_",AU$4),PAAC_2,MATCH(AU$3,PAAC!$E$19:$T$19,0),0)),"",VLOOKUP(CONCATENATE($F8,"_",AU$4),PAAC_2,MATCH(AU$3,PAAC!$E$19:$T$19,0),0)),"")</f>
        <v xml:space="preserve">La ejecución se ha venido realizando conforme a la programción establecida con el ánimo de fortalecer  la cultura de rendición de cuentas en la entidad para ello se realizaron mesas territoriales de diálogo ciudadano </v>
      </c>
      <c r="AV8" t="str">
        <f>+IFERROR(IF(ISBLANK(VLOOKUP(CONCATENATE($F8,"_",AV$4),PAAC_2,MATCH(AV$3,PAAC!$E$19:$T$19,0),0)),"",VLOOKUP(CONCATENATE($F8,"_",AV$4),PAAC_2,MATCH(AV$3,PAAC!$E$19:$T$19,0),0)),"")</f>
        <v>Por efectos de la emergencia sanitaria se han presentado dificultades para la ralización de las actividades pero se han podido solucionar con el uso de la tecnología</v>
      </c>
      <c r="AW8" t="str">
        <f>+IFERROR(IF(ISBLANK(VLOOKUP(CONCATENATE($F8,"_",AW$4),PAAC_2,MATCH(AW$3,PAAC!$E$19:$T$19,0),0)),"",VLOOKUP(CONCATENATE($F8,"_",AW$4),PAAC_2,MATCH(AW$3,PAAC!$E$19:$T$19,0),0)),"")</f>
        <v>Las actividades realizadas contribuyen a fortalecer los procesos de rendición de cuentas en los diferentes espacios  de particiacón ciudadana</v>
      </c>
      <c r="AX8">
        <f>+IFERROR(IF(ISBLANK(VLOOKUP(CONCATENATE($F8,"_",AX$4),PAAC_2,MATCH(AX$3,PAAC!$E$19:$T$19,0),0)),"",VLOOKUP(CONCATENATE($F8,"_",AX$4),PAAC_2,MATCH(AX$3,PAAC!$E$19:$T$19,0),0)),"")</f>
        <v>2</v>
      </c>
      <c r="AY8">
        <f>+IFERROR(IF(ISBLANK(VLOOKUP(CONCATENATE($F8,"_",AY$4),PAAC_2,MATCH(AY$3,PAAC!$E$19:$T$19,0),0)),"",VLOOKUP(CONCATENATE($F8,"_",AY$4),PAAC_2,MATCH(AY$3,PAAC!$E$19:$T$19,0),0)),"")</f>
        <v>2</v>
      </c>
      <c r="AZ8" t="str">
        <f>+IFERROR(IF(ISBLANK(VLOOKUP(CONCATENATE($F8,"_",AZ$4),PAAC_2,MATCH(AZ$3,PAAC!$E$19:$T$19,0),0)),"",VLOOKUP(CONCATENATE($F8,"_",AZ$4),PAAC_2,MATCH(AZ$3,PAAC!$E$19:$T$19,0),0)),"")</f>
        <v>Se realizaron mesas territoriales de diálogo ciudadano y se aprobó el Plan de Participación Ciudadana por parte del Comité Institucional de Gestión y Desempeño</v>
      </c>
      <c r="BA8" t="str">
        <f>+IFERROR(IF(ISBLANK(VLOOKUP(CONCATENATE($F8,"_",BA$4),PAAC_2,MATCH(BA$3,PAAC!$E$19:$T$19,0),0)),"",VLOOKUP(CONCATENATE($F8,"_",BA$4),PAAC_2,MATCH(BA$3,PAAC!$E$19:$T$19,0),0)),"")</f>
        <v>Ninguna</v>
      </c>
      <c r="BB8" t="str">
        <f>+IFERROR(IF(ISBLANK(VLOOKUP(CONCATENATE($F8,"_",BB$4),PAAC_2,MATCH(BB$3,PAAC!$E$19:$T$19,0),0)),"",VLOOKUP(CONCATENATE($F8,"_",BB$4),PAAC_2,MATCH(BB$3,PAAC!$E$19:$T$19,0),0)),"")</f>
        <v>Los mmiembros de cada una de las mesas tuvieron la oportunidad de presentar observaciones, inquietudes y sugerenciaas con el ánimo de crecer en la obtención de los objetivos propuestos. La entidad tiene un Plan de participación ciudadana aprobado como herramienta para fortalecer los procesos de participación y rendición de cuentas</v>
      </c>
      <c r="BC8">
        <f t="shared" si="10"/>
        <v>9</v>
      </c>
      <c r="BD8">
        <f t="shared" si="10"/>
        <v>9</v>
      </c>
      <c r="BE8" s="129" t="str">
        <f>+IFERROR(IF(ISBLANK(VLOOKUP(CONCATENATE($F8,"_",BE$4),P1081_4,MATCH(BE$3,PAAC!$E$19:$M$19,0),0)),"",VLOOKUP(CONCATENATE($F8,"_",BE$4),P1081_4,MATCH(BE$3,PAAC!$E$19:$M$19,0),0)),"")</f>
        <v/>
      </c>
      <c r="BF8" s="129" t="str">
        <f>+IFERROR(IF(ISBLANK(VLOOKUP(CONCATENATE($F8,"_",BF$4),P1081_4,MATCH(BF$3,PAAC!$E$19:$M$19,0),0)),"",VLOOKUP(CONCATENATE($F8,"_",BF$4),P1081_4,MATCH(BF$3,PAAC!$E$19:$M$19,0),0)),"")</f>
        <v/>
      </c>
      <c r="BG8" s="129" t="str">
        <f>+IFERROR(IF(ISBLANK(VLOOKUP(CONCATENATE($F8,"_",BG$4),P1081_4,MATCH(BG$3,PAAC!$E$19:$M$19,0),0)),"",VLOOKUP(CONCATENATE($F8,"_",BG$4),P1081_4,MATCH(BG$3,PAAC!$E$19:$M$19,0),0)),"")</f>
        <v/>
      </c>
      <c r="BH8" s="129" t="str">
        <f>+IFERROR(IF(ISBLANK(VLOOKUP(CONCATENATE($F8,"_",BH$4),P1081_4,MATCH(BH$3,PAAC!$E$19:$M$19,0),0)),"",VLOOKUP(CONCATENATE($F8,"_",BH$4),P1081_4,MATCH(BH$3,PAAC!$E$19:$M$19,0),0)),"")</f>
        <v/>
      </c>
      <c r="BI8" s="129" t="str">
        <f>+IFERROR(IF(ISBLANK(VLOOKUP(CONCATENATE($F8,"_",BI$4),P1081_4,MATCH(BI$3,PAAC!$E$19:$M$19,0),0)),"",VLOOKUP(CONCATENATE($F8,"_",BI$4),P1081_4,MATCH(BI$3,PAAC!$E$19:$M$19,0),0)),"")</f>
        <v/>
      </c>
      <c r="BJ8" s="129" t="str">
        <f>+IFERROR(IF(ISBLANK(VLOOKUP(CONCATENATE($F8,"_",BJ$4),P1081_4,MATCH(BJ$3,PAAC!$E$19:$M$19,0),0)),"",VLOOKUP(CONCATENATE($F8,"_",BJ$4),P1081_4,MATCH(BJ$3,PAAC!$E$19:$M$19,0),0)),"")</f>
        <v/>
      </c>
      <c r="BK8" s="129" t="str">
        <f>+IFERROR(IF(ISBLANK(VLOOKUP(CONCATENATE($F8,"_",BK$4),P1081_4,MATCH(BK$3,PAAC!$E$19:$M$19,0),0)),"",VLOOKUP(CONCATENATE($F8,"_",BK$4),P1081_4,MATCH(BK$3,PAAC!$E$19:$M$19,0),0)),"")</f>
        <v/>
      </c>
      <c r="BL8" s="129" t="str">
        <f>+IFERROR(IF(ISBLANK(VLOOKUP(CONCATENATE($F8,"_",BL$4),P1081_4,MATCH(BL$3,PAAC!$E$19:$M$19,0),0)),"",VLOOKUP(CONCATENATE($F8,"_",BL$4),P1081_4,MATCH(BL$3,PAAC!$E$19:$M$19,0),0)),"")</f>
        <v/>
      </c>
      <c r="BM8" s="129" t="str">
        <f>+IFERROR(IF(ISBLANK(VLOOKUP(CONCATENATE($F8,"_",BM$4),P1081_4,MATCH(BM$3,PAAC!$E$19:$M$19,0),0)),"",VLOOKUP(CONCATENATE($F8,"_",BM$4),P1081_4,MATCH(BM$3,PAAC!$E$19:$M$19,0),0)),"")</f>
        <v/>
      </c>
      <c r="BN8" s="129" t="str">
        <f>+IFERROR(IF(ISBLANK(VLOOKUP(CONCATENATE($F8,"_",BN$4),P1081_4,MATCH(BN$3,PAAC!$E$19:$M$19,0),0)),"",VLOOKUP(CONCATENATE($F8,"_",BN$4),P1081_4,MATCH(BN$3,PAAC!$E$19:$M$19,0),0)),"")</f>
        <v/>
      </c>
      <c r="BO8" s="129" t="str">
        <f>+IFERROR(IF(ISBLANK(VLOOKUP(CONCATENATE($F8,"_",BO$4),P1081_4,MATCH(BO$3,PAAC!$E$19:$M$19,0),0)),"",VLOOKUP(CONCATENATE($F8,"_",BO$4),P1081_4,MATCH(BO$3,PAAC!$E$19:$M$19,0),0)),"")</f>
        <v/>
      </c>
      <c r="BP8" s="129" t="str">
        <f>+IFERROR(IF(ISBLANK(VLOOKUP(CONCATENATE($F8,"_",BP$4),P1081_4,MATCH(BP$3,PAAC!$E$19:$M$19,0),0)),"",VLOOKUP(CONCATENATE($F8,"_",BP$4),P1081_4,MATCH(BP$3,PAAC!$E$19:$M$19,0),0)),"")</f>
        <v/>
      </c>
      <c r="BQ8" s="129" t="str">
        <f>+IFERROR(IF(ISBLANK(VLOOKUP(CONCATENATE($F8,"_",BQ$4),P1081_4,MATCH(BQ$3,PAAC!$E$19:$M$19,0),0)),"",VLOOKUP(CONCATENATE($F8,"_",BQ$4),P1081_4,MATCH(BQ$3,PAAC!$E$19:$M$19,0),0)),"")</f>
        <v/>
      </c>
      <c r="BR8" s="129" t="str">
        <f>+IFERROR(IF(ISBLANK(VLOOKUP(CONCATENATE($F8,"_",BR$4),P1081_4,MATCH(BR$3,PAAC!$E$19:$M$19,0),0)),"",VLOOKUP(CONCATENATE($F8,"_",BR$4),P1081_4,MATCH(BR$3,PAAC!$E$19:$M$19,0),0)),"")</f>
        <v/>
      </c>
      <c r="BS8" s="129" t="str">
        <f>+IFERROR(IF(ISBLANK(VLOOKUP(CONCATENATE($F8,"_",BS$4),P1081_4,MATCH(BS$3,PAAC!$E$19:$M$19,0),0)),"",VLOOKUP(CONCATENATE($F8,"_",BS$4),P1081_4,MATCH(BS$3,PAAC!$E$19:$M$19,0),0)),"")</f>
        <v/>
      </c>
      <c r="BT8" s="129" t="str">
        <f>+IFERROR(IF(ISBLANK(VLOOKUP(CONCATENATE($F8,"_",BT$4),P1081_4,MATCH(BT$3,PAAC!$E$19:$M$19,0),0)),"",VLOOKUP(CONCATENATE($F8,"_",BT$4),P1081_4,MATCH(BT$3,PAAC!$E$19:$M$19,0),0)),"")</f>
        <v/>
      </c>
      <c r="BU8" s="129" t="str">
        <f>+IFERROR(IF(ISBLANK(VLOOKUP(CONCATENATE($F8,"_",BU$4),P1081_4,MATCH(BU$3,PAAC!$E$19:$M$19,0),0)),"",VLOOKUP(CONCATENATE($F8,"_",BU$4),P1081_4,MATCH(BU$3,PAAC!$E$19:$M$19,0),0)),"")</f>
        <v/>
      </c>
      <c r="BV8" s="129" t="str">
        <f>+IFERROR(IF(ISBLANK(VLOOKUP(CONCATENATE($F8,"_",BV$4),P1081_4,MATCH(BV$3,PAAC!$E$19:$M$19,0),0)),"",VLOOKUP(CONCATENATE($F8,"_",BV$4),P1081_4,MATCH(BV$3,PAAC!$E$19:$M$19,0),0)),"")</f>
        <v/>
      </c>
      <c r="BW8" s="129" t="str">
        <f>+IFERROR(IF(ISBLANK(VLOOKUP(CONCATENATE($F8,"_",BW$4),P1081_4,MATCH(BW$3,PAAC!$E$19:$M$19,0),0)),"",VLOOKUP(CONCATENATE($F8,"_",BW$4),P1081_4,MATCH(BW$3,PAAC!$E$19:$M$19,0),0)),"")</f>
        <v/>
      </c>
      <c r="BX8" s="129" t="str">
        <f>+IFERROR(IF(ISBLANK(VLOOKUP(CONCATENATE($F8,"_",BX$4),P1081_4,MATCH(BX$3,PAAC!$E$19:$M$19,0),0)),"",VLOOKUP(CONCATENATE($F8,"_",BX$4),P1081_4,MATCH(BX$3,PAAC!$E$19:$M$19,0),0)),"")</f>
        <v/>
      </c>
      <c r="BY8" s="129" t="str">
        <f>+IFERROR(IF(ISBLANK(VLOOKUP(CONCATENATE($F8,"_",BY$4),P1081_4,MATCH(BY$3,PAAC!$E$19:$M$19,0),0)),"",VLOOKUP(CONCATENATE($F8,"_",BY$4),P1081_4,MATCH(BY$3,PAAC!$E$19:$M$19,0),0)),"")</f>
        <v/>
      </c>
      <c r="BZ8" s="129" t="str">
        <f>+IFERROR(IF(ISBLANK(VLOOKUP(CONCATENATE($F8,"_",BZ$4),P1081_4,MATCH(BZ$3,PAAC!$E$19:$M$19,0),0)),"",VLOOKUP(CONCATENATE($F8,"_",BZ$4),P1081_4,MATCH(BZ$3,PAAC!$E$19:$M$19,0),0)),"")</f>
        <v/>
      </c>
      <c r="CA8" s="129" t="str">
        <f>+IFERROR(IF(ISBLANK(VLOOKUP(CONCATENATE($F8,"_",CA$4),P1081_4,MATCH(CA$3,PAAC!$E$19:$M$19,0),0)),"",VLOOKUP(CONCATENATE($F8,"_",CA$4),P1081_4,MATCH(CA$3,PAAC!$E$19:$M$19,0),0)),"")</f>
        <v/>
      </c>
      <c r="CB8" s="129" t="str">
        <f>+IFERROR(IF(ISBLANK(VLOOKUP(CONCATENATE($F8,"_",CB$4),P1081_4,MATCH(CB$3,PAAC!$E$19:$M$19,0),0)),"",VLOOKUP(CONCATENATE($F8,"_",CB$4),P1081_4,MATCH(CB$3,PAAC!$E$19:$M$19,0),0)),"")</f>
        <v/>
      </c>
      <c r="CC8" s="129" t="str">
        <f>+IFERROR(IF(ISBLANK(VLOOKUP(CONCATENATE($F8,"_",CC$4),P1081_4,MATCH(CC$3,PAAC!$E$19:$M$19,0),0)),"",VLOOKUP(CONCATENATE($F8,"_",CC$4),P1081_4,MATCH(CC$3,PAAC!$E$19:$M$19,0),0)),"")</f>
        <v/>
      </c>
      <c r="CD8" s="129" t="str">
        <f t="shared" si="11"/>
        <v/>
      </c>
      <c r="CE8" s="129" t="str">
        <f t="shared" si="3"/>
        <v/>
      </c>
      <c r="CF8" s="129" t="str">
        <f t="shared" si="4"/>
        <v/>
      </c>
      <c r="CG8" s="129" t="str">
        <f t="shared" si="5"/>
        <v/>
      </c>
      <c r="CH8" s="129" t="str">
        <f t="shared" si="6"/>
        <v/>
      </c>
      <c r="CI8" t="str">
        <f t="shared" si="12"/>
        <v>No aplica</v>
      </c>
      <c r="CJ8" t="str">
        <f t="shared" si="12"/>
        <v>Cumplido</v>
      </c>
      <c r="CK8" t="str">
        <f t="shared" si="12"/>
        <v>No adecuado</v>
      </c>
      <c r="CL8" t="str">
        <f t="shared" si="12"/>
        <v>Coherente</v>
      </c>
      <c r="CM8" t="str">
        <f t="shared" si="12"/>
        <v>Concuerda</v>
      </c>
      <c r="CN8" t="str">
        <f t="shared" si="12"/>
        <v>Indeterminado</v>
      </c>
      <c r="CO8" t="str">
        <f t="shared" si="12"/>
        <v>No aplica</v>
      </c>
      <c r="CP8" t="str">
        <f t="shared" si="12"/>
        <v>Adecuado</v>
      </c>
      <c r="CQ8" t="str">
        <f t="shared" si="12"/>
        <v>Oportuna</v>
      </c>
      <c r="CR8" t="str">
        <f t="shared" si="12"/>
        <v>Los beneficios deberían estar mas relacionados con el desarrollo de las actividades puntuales en cada mes. Teniendo en cuenta que se ha cumplido en cada mes con el resultado esperado para el indicador, no se deberían reportar dificultades, salvo que hayan representado un esfuerzo significativo para el desarrollo de las actividades del plan en el componente número 3. Las carpetas de las evidencias corresponden con el valor reportado del indicador y su contenido es acorde con el propósito del indicador.</v>
      </c>
      <c r="CS8" t="str">
        <f t="shared" si="13"/>
        <v>Fernando Escobar Mendoza</v>
      </c>
      <c r="CT8" t="str">
        <f t="shared" si="13"/>
        <v>Cumple</v>
      </c>
      <c r="CU8" t="str">
        <f t="shared" si="13"/>
        <v>Cumplido</v>
      </c>
      <c r="CV8" t="str">
        <f t="shared" si="13"/>
        <v>Adecuado</v>
      </c>
      <c r="CW8" t="str">
        <f t="shared" si="13"/>
        <v>Coherente</v>
      </c>
      <c r="CX8" t="str">
        <f t="shared" si="13"/>
        <v>Concuerda</v>
      </c>
      <c r="CY8" t="str">
        <f t="shared" si="13"/>
        <v>No aplica</v>
      </c>
      <c r="CZ8" t="str">
        <f t="shared" si="13"/>
        <v>No aplica</v>
      </c>
      <c r="DA8" t="str">
        <f t="shared" si="13"/>
        <v>Adecuado</v>
      </c>
      <c r="DB8" t="str">
        <f t="shared" si="13"/>
        <v>Oportuna</v>
      </c>
      <c r="DC8" t="str">
        <f t="shared" si="14"/>
        <v>Niniguna</v>
      </c>
      <c r="DD8" t="str">
        <f t="shared" si="14"/>
        <v>Fernando Escobar Mendoza</v>
      </c>
      <c r="DE8" t="e">
        <f t="shared" si="14"/>
        <v>#REF!</v>
      </c>
      <c r="DF8" t="e">
        <f t="shared" si="14"/>
        <v>#REF!</v>
      </c>
      <c r="DG8" t="e">
        <f t="shared" si="14"/>
        <v>#REF!</v>
      </c>
      <c r="DH8" t="e">
        <f t="shared" si="14"/>
        <v>#REF!</v>
      </c>
      <c r="DI8" t="e">
        <f t="shared" si="14"/>
        <v>#REF!</v>
      </c>
      <c r="DJ8" t="e">
        <f t="shared" si="14"/>
        <v>#REF!</v>
      </c>
      <c r="DK8" t="e">
        <f t="shared" si="14"/>
        <v>#REF!</v>
      </c>
      <c r="DL8" t="e">
        <f t="shared" si="14"/>
        <v>#REF!</v>
      </c>
      <c r="DM8" t="e">
        <f t="shared" si="15"/>
        <v>#REF!</v>
      </c>
      <c r="DN8" t="e">
        <f t="shared" si="15"/>
        <v>#REF!</v>
      </c>
      <c r="DO8" t="e">
        <f t="shared" si="15"/>
        <v>#REF!</v>
      </c>
      <c r="DP8" t="e">
        <f t="shared" si="15"/>
        <v>#REF!</v>
      </c>
      <c r="DQ8" t="e">
        <f t="shared" si="15"/>
        <v>#REF!</v>
      </c>
      <c r="DR8" t="e">
        <f t="shared" si="15"/>
        <v>#REF!</v>
      </c>
      <c r="DS8" t="e">
        <f t="shared" si="15"/>
        <v>#REF!</v>
      </c>
      <c r="DT8" t="e">
        <f t="shared" si="15"/>
        <v>#REF!</v>
      </c>
      <c r="DU8" t="e">
        <f t="shared" si="15"/>
        <v>#REF!</v>
      </c>
      <c r="DV8" t="e">
        <f t="shared" si="15"/>
        <v>#REF!</v>
      </c>
      <c r="DW8" t="e">
        <f t="shared" si="15"/>
        <v>#REF!</v>
      </c>
      <c r="DX8" t="e">
        <f t="shared" si="15"/>
        <v>#REF!</v>
      </c>
    </row>
    <row r="9" spans="1:129" x14ac:dyDescent="0.3">
      <c r="A9" s="423" t="str">
        <f>+F9</f>
        <v>04_PAAC</v>
      </c>
      <c r="B9" t="str">
        <f>+C9&amp;"_"&amp;D9</f>
        <v>4_Oficina Asesora de Planeación</v>
      </c>
      <c r="C9">
        <f t="shared" si="8"/>
        <v>4</v>
      </c>
      <c r="D9" t="str">
        <f>+VLOOKUP($F9,bd,MATCH(D$5,bdfila,0),0)</f>
        <v>Oficina Asesora de Planeación</v>
      </c>
      <c r="E9" t="str">
        <f t="shared" si="1"/>
        <v>oap</v>
      </c>
      <c r="F9" s="208" t="str">
        <f>+PAAC!C13</f>
        <v>04_PAAC</v>
      </c>
      <c r="G9" t="str">
        <f t="shared" si="2"/>
        <v>Constante</v>
      </c>
      <c r="H9" t="str">
        <f t="shared" si="2"/>
        <v>Porcentaje</v>
      </c>
      <c r="I9" t="str">
        <f t="shared" si="2"/>
        <v>No Disponible / No Aplica</v>
      </c>
      <c r="J9" t="str">
        <f t="shared" si="2"/>
        <v>No Disponible / No Aplica</v>
      </c>
      <c r="K9" t="str">
        <f>+IFERROR(VLOOKUP($F9,PAAC_1,MATCH(K$5,PAAC!$C$9:$AA$9,0),0),"")</f>
        <v>Suma</v>
      </c>
      <c r="L9">
        <f>+IFERROR(VLOOKUP($F9,PAAC_1,MATCH(L$5,PAAC!$C$9:$AA$9,0),0),"")</f>
        <v>21536</v>
      </c>
      <c r="M9">
        <f t="shared" si="9"/>
        <v>4509</v>
      </c>
      <c r="N9">
        <f>+IFERROR(VLOOKUP($F9,PAAC_1,MATCH(N$5,PAAC!$C$9:$AA$9,0),0),"")</f>
        <v>1469</v>
      </c>
      <c r="O9">
        <f>+IFERROR(VLOOKUP($F9,PAAC_1,MATCH(O$5,PAAC!$C$9:$AA$9,0),0),"")</f>
        <v>1534</v>
      </c>
      <c r="P9">
        <f>+IFERROR(VLOOKUP($F9,PAAC_1,MATCH(P$5,PAAC!$C$9:$AA$9,0),0),"")</f>
        <v>1506</v>
      </c>
      <c r="Q9">
        <f>+IFERROR(VLOOKUP($F9,PAAC_1,MATCH(Q$5,PAAC!$C$9:$AA$9,0),0),"")</f>
        <v>1727</v>
      </c>
      <c r="R9">
        <f>+IFERROR(VLOOKUP($F9,PAAC_1,MATCH(R$5,PAAC!$C$9:$AA$9,0),0),"")</f>
        <v>1754</v>
      </c>
      <c r="S9">
        <f>+IFERROR(VLOOKUP($F9,PAAC_1,MATCH(S$5,PAAC!$C$9:$AA$9,0),0),"")</f>
        <v>2111</v>
      </c>
      <c r="T9">
        <f>+IFERROR(VLOOKUP($F9,PAAC_1,MATCH(T$5,PAAC!$C$9:$AA$9,0),0),"")</f>
        <v>100</v>
      </c>
      <c r="U9" t="str">
        <f>+IFERROR(VLOOKUP($F9,PAAC_1,MATCH(U$5,PAAC!$C$9:$AA$9,0),0),"")</f>
        <v>Este indicador mide el avance en la ejecución de las actividades programadas en la vigencia, para el Componente 4 del Plan Anticorrupción y Atención al Ciudadano en la Secretaria General de la Alcaldía Mayor de Bogotá D.C.</v>
      </c>
      <c r="V9" t="str">
        <f>+IFERROR(VLOOKUP($F9,PAAC_1,MATCH(V$5,PAAC!$C$9:$AA$9,0),0),"")</f>
        <v>Prestar apoyo técnico a las dependencias en lo relacionado con la formulación y el desarrollo de las actividades asociadas al componente 4 del Plan Anticorrupción y Atención al Ciudadano.
Hacer monitoreo y seguimiento a las dependencias responsables de la ejecución de las actividades programadas en el componenente 4 del Plan Anticorrupción y Atención al Ciudadano.</v>
      </c>
      <c r="W9" t="str">
        <f>+IFERROR(VLOOKUP($F9,PAAC_1,MATCH(W$5,PAAC!$C$9:$AA$9,0),0),"")</f>
        <v>Mejorar la satisfacción de los ciudadanos, facilitando el ejercicio de sus derechos dentro del marco de la Política Nacional de Eficiencia Administrativa al Servicio del Ciudadano (Conpes 3785 de 2013), de acuerdo con los lineamientos del Programa Nacional de Servicio al Ciudadano</v>
      </c>
      <c r="X9" t="str">
        <f>+IFERROR(VLOOKUP($F9,PAAC_1,MATCH(X$5,PAAC!$C$9:$AA$9,0),0),"")</f>
        <v>Botón de transparencia de la página web de la Secretaría General
Reportes de las dependencias</v>
      </c>
      <c r="Y9">
        <f>+IFERROR(IF(ISBLANK(VLOOKUP(CONCATENATE($F9,"_",Y$4),PAAC_2,MATCH(Y$3,PAAC!$E$19:$T$19,0),0)),"",VLOOKUP(CONCATENATE($F9,"_",Y$4),PAAC_2,MATCH(Y$3,PAAC!$E$19:$T$19,0),0)),"")</f>
        <v>1495</v>
      </c>
      <c r="Z9">
        <f>+IFERROR(IF(ISBLANK(VLOOKUP(CONCATENATE($F9,"_",Z$4),PAAC_2,MATCH(Z$3,PAAC!$E$19:$T$19,0),0)),"",VLOOKUP(CONCATENATE($F9,"_",Z$4),PAAC_2,MATCH(Z$3,PAAC!$E$19:$T$19,0),0)),"")</f>
        <v>1469</v>
      </c>
      <c r="AA9" t="str">
        <f>+IFERROR(IF(ISBLANK(VLOOKUP(CONCATENATE($F9,"_",AA$4),PAAC_2,MATCH(AA$3,PAAC!$E$19:$T$19,0),0)),"",VLOOKUP(CONCATENATE($F9,"_",AA$4),PAAC_2,MATCH(AA$3,PAAC!$E$19:$T$19,0),0)),"")</f>
        <v>La ejecución se ha venido realizando conforme a la programción establecida con el ánimo de instaurar mecanismos de participación ciudadana para ello se realizaron acciones como: Sensibuilización de ciudadanos, informes PQR, eventos de supercade móvil, Informe denuncias actos de corrupción, cualificación a serviores, retroalimentación a entidades distritales.</v>
      </c>
      <c r="AB9" t="str">
        <f>+IFERROR(IF(ISBLANK(VLOOKUP(CONCATENATE($F9,"_",AB$4),PAAC_2,MATCH(AB$3,PAAC!$E$19:$T$19,0),0)),"",VLOOKUP(CONCATENATE($F9,"_",AB$4),PAAC_2,MATCH(AB$3,PAAC!$E$19:$T$19,0),0)),"")</f>
        <v>No se presentaron retrasos o dificultades para la realización de las actividades</v>
      </c>
      <c r="AC9" t="str">
        <f>+IFERROR(IF(ISBLANK(VLOOKUP(CONCATENATE($F9,"_",AC$4),PAAC_2,MATCH(AC$3,PAAC!$E$19:$T$19,0),0)),"",VLOOKUP(CONCATENATE($F9,"_",AC$4),PAAC_2,MATCH(AC$3,PAAC!$E$19:$T$19,0),0)),"")</f>
        <v>Las actividades realizadas contribuyen a fortalecer los mecanismos de participación de cara a la buena realción entre la entidad y la ciudadanía</v>
      </c>
      <c r="AD9">
        <f>+IFERROR(IF(ISBLANK(VLOOKUP(CONCATENATE($F9,"_",AD$4),PAAC_2,MATCH(AD$3,PAAC!$E$19:$T$19,0),0)),"",VLOOKUP(CONCATENATE($F9,"_",AD$4),PAAC_2,MATCH(AD$3,PAAC!$E$19:$T$19,0),0)),"")</f>
        <v>2072</v>
      </c>
      <c r="AE9">
        <f>+IFERROR(IF(ISBLANK(VLOOKUP(CONCATENATE($F9,"_",AE$4),PAAC_2,MATCH(AE$3,PAAC!$E$19:$T$19,0),0)),"",VLOOKUP(CONCATENATE($F9,"_",AE$4),PAAC_2,MATCH(AE$3,PAAC!$E$19:$T$19,0),0)),"")</f>
        <v>1534</v>
      </c>
      <c r="AF9" t="str">
        <f>+IFERROR(IF(ISBLANK(VLOOKUP(CONCATENATE($F9,"_",AF$4),PAAC_2,MATCH(AF$3,PAAC!$E$19:$T$19,0),0)),"",VLOOKUP(CONCATENATE($F9,"_",AF$4),PAAC_2,MATCH(AF$3,PAAC!$E$19:$T$19,0),0)),"")</f>
        <v>La ejecución se ha venido realizando conforme a la programción establecida con el ánimo de instaurar mecanismos de participación ciudadana para ello se realizaron acciones como: Sensibuilización de ciudadanos, informes PQR, eventos de supercade móvil, Informe denuncias actos de corrupción, cualificación a serviores, retroalimentación a entidades distritales.</v>
      </c>
      <c r="AG9" t="str">
        <f>+IFERROR(IF(ISBLANK(VLOOKUP(CONCATENATE($F9,"_",AG$4),PAAC_2,MATCH(AG$3,PAAC!$E$19:$T$19,0),0)),"",VLOOKUP(CONCATENATE($F9,"_",AG$4),PAAC_2,MATCH(AG$3,PAAC!$E$19:$T$19,0),0)),"")</f>
        <v>No se presentaron retrasos o dificultades para la realización de las actividades</v>
      </c>
      <c r="AH9" t="str">
        <f>+IFERROR(IF(ISBLANK(VLOOKUP(CONCATENATE($F9,"_",AH$4),PAAC_2,MATCH(AH$3,PAAC!$E$19:$T$19,0),0)),"",VLOOKUP(CONCATENATE($F9,"_",AH$4),PAAC_2,MATCH(AH$3,PAAC!$E$19:$T$19,0),0)),"")</f>
        <v>Las actividades realizadas contribuyen a fortalecer los mecanismos de participación de cara a la buena realción entre la entidad y la ciudadanía</v>
      </c>
      <c r="AI9">
        <f>+IFERROR(IF(ISBLANK(VLOOKUP(CONCATENATE($F9,"_",AI$4),PAAC_2,MATCH(AI$3,PAAC!$E$19:$T$19,0),0)),"",VLOOKUP(CONCATENATE($F9,"_",AI$4),PAAC_2,MATCH(AI$3,PAAC!$E$19:$T$19,0),0)),"")</f>
        <v>1945</v>
      </c>
      <c r="AJ9">
        <f>+IFERROR(IF(ISBLANK(VLOOKUP(CONCATENATE($F9,"_",AJ$4),PAAC_2,MATCH(AJ$3,PAAC!$E$19:$T$19,0),0)),"",VLOOKUP(CONCATENATE($F9,"_",AJ$4),PAAC_2,MATCH(AJ$3,PAAC!$E$19:$T$19,0),0)),"")</f>
        <v>1506</v>
      </c>
      <c r="AK9" t="str">
        <f>+IFERROR(IF(ISBLANK(VLOOKUP(CONCATENATE($F9,"_",AK$4),PAAC_2,MATCH(AK$3,PAAC!$E$19:$T$19,0),0)),"",VLOOKUP(CONCATENATE($F9,"_",AK$4),PAAC_2,MATCH(AK$3,PAAC!$E$19:$T$19,0),0)),"")</f>
        <v>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v>
      </c>
      <c r="AL9" t="str">
        <f>+IFERROR(IF(ISBLANK(VLOOKUP(CONCATENATE($F9,"_",AL$4),PAAC_2,MATCH(AL$3,PAAC!$E$19:$T$19,0),0)),"",VLOOKUP(CONCATENATE($F9,"_",AL$4),PAAC_2,MATCH(AL$3,PAAC!$E$19:$T$19,0),0)),"")</f>
        <v>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v>
      </c>
      <c r="AM9" t="str">
        <f>+IFERROR(IF(ISBLANK(VLOOKUP(CONCATENATE($F9,"_",AM$4),PAAC_2,MATCH(AM$3,PAAC!$E$19:$T$19,0),0)),"",VLOOKUP(CONCATENATE($F9,"_",AM$4),PAAC_2,MATCH(AM$3,PAAC!$E$19:$T$19,0),0)),"")</f>
        <v>Las actividades realizadas contribuyen a fortalecer los mecanismos de participación de cara a la buena realción entre la entidad y la ciudadanía</v>
      </c>
      <c r="AN9">
        <f>+IFERROR(IF(ISBLANK(VLOOKUP(CONCATENATE($F9,"_",AN$4),PAAC_2,MATCH(AN$3,PAAC!$E$19:$T$19,0),0)),"",VLOOKUP(CONCATENATE($F9,"_",AN$4),PAAC_2,MATCH(AN$3,PAAC!$E$19:$T$19,0),0)),"")</f>
        <v>3048</v>
      </c>
      <c r="AO9">
        <f>+IFERROR(IF(ISBLANK(VLOOKUP(CONCATENATE($F9,"_",AO$4),PAAC_2,MATCH(AO$3,PAAC!$E$19:$T$19,0),0)),"",VLOOKUP(CONCATENATE($F9,"_",AO$4),PAAC_2,MATCH(AO$3,PAAC!$E$19:$T$19,0),0)),"")</f>
        <v>1727</v>
      </c>
      <c r="AP9" t="str">
        <f>+IFERROR(IF(ISBLANK(VLOOKUP(CONCATENATE($F9,"_",AP$4),PAAC_2,MATCH(AP$3,PAAC!$E$19:$T$19,0),0)),"",VLOOKUP(CONCATENATE($F9,"_",AP$4),PAAC_2,MATCH(AP$3,PAAC!$E$19:$T$19,0),0)),"")</f>
        <v>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v>
      </c>
      <c r="AQ9" t="str">
        <f>+IFERROR(IF(ISBLANK(VLOOKUP(CONCATENATE($F9,"_",AQ$4),PAAC_2,MATCH(AQ$3,PAAC!$E$19:$T$19,0),0)),"",VLOOKUP(CONCATENATE($F9,"_",AQ$4),PAAC_2,MATCH(AQ$3,PAAC!$E$19:$T$19,0),0)),"")</f>
        <v>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v>
      </c>
      <c r="AR9" t="str">
        <f>+IFERROR(IF(ISBLANK(VLOOKUP(CONCATENATE($F9,"_",AR$4),PAAC_2,MATCH(AR$3,PAAC!$E$19:$T$19,0),0)),"",VLOOKUP(CONCATENATE($F9,"_",AR$4),PAAC_2,MATCH(AR$3,PAAC!$E$19:$T$19,0),0)),"")</f>
        <v>Las actividades realizadas contribuyen a fortalecer los mecanismos de participación de cara a la buena realción entre la entidad y la ciudadanía</v>
      </c>
      <c r="AS9">
        <f>+IFERROR(IF(ISBLANK(VLOOKUP(CONCATENATE($F9,"_",AS$4),PAAC_2,MATCH(AS$3,PAAC!$E$19:$T$19,0),0)),"",VLOOKUP(CONCATENATE($F9,"_",AS$4),PAAC_2,MATCH(AS$3,PAAC!$E$19:$T$19,0),0)),"")</f>
        <v>2425</v>
      </c>
      <c r="AT9">
        <f>+IFERROR(IF(ISBLANK(VLOOKUP(CONCATENATE($F9,"_",AT$4),PAAC_2,MATCH(AT$3,PAAC!$E$19:$T$19,0),0)),"",VLOOKUP(CONCATENATE($F9,"_",AT$4),PAAC_2,MATCH(AT$3,PAAC!$E$19:$T$19,0),0)),"")</f>
        <v>1754</v>
      </c>
      <c r="AU9" t="str">
        <f>+IFERROR(IF(ISBLANK(VLOOKUP(CONCATENATE($F9,"_",AU$4),PAAC_2,MATCH(AU$3,PAAC!$E$19:$T$19,0),0)),"",VLOOKUP(CONCATENATE($F9,"_",AU$4),PAAC_2,MATCH(AU$3,PAAC!$E$19:$T$19,0),0)),"")</f>
        <v>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v>
      </c>
      <c r="AV9" t="str">
        <f>+IFERROR(IF(ISBLANK(VLOOKUP(CONCATENATE($F9,"_",AV$4),PAAC_2,MATCH(AV$3,PAAC!$E$19:$T$19,0),0)),"",VLOOKUP(CONCATENATE($F9,"_",AV$4),PAAC_2,MATCH(AV$3,PAAC!$E$19:$T$19,0),0)),"")</f>
        <v>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v>
      </c>
      <c r="AW9" t="str">
        <f>+IFERROR(IF(ISBLANK(VLOOKUP(CONCATENATE($F9,"_",AW$4),PAAC_2,MATCH(AW$3,PAAC!$E$19:$T$19,0),0)),"",VLOOKUP(CONCATENATE($F9,"_",AW$4),PAAC_2,MATCH(AW$3,PAAC!$E$19:$T$19,0),0)),"")</f>
        <v>Las actividades realizadas contribuyen a fortalecer los mecanismos de participación de cara a la buena realción entre la entidad y la ciudadanía</v>
      </c>
      <c r="AX9">
        <f>+IFERROR(IF(ISBLANK(VLOOKUP(CONCATENATE($F9,"_",AX$4),PAAC_2,MATCH(AX$3,PAAC!$E$19:$T$19,0),0)),"",VLOOKUP(CONCATENATE($F9,"_",AX$4),PAAC_2,MATCH(AX$3,PAAC!$E$19:$T$19,0),0)),"")</f>
        <v>3159</v>
      </c>
      <c r="AY9">
        <f>+IFERROR(IF(ISBLANK(VLOOKUP(CONCATENATE($F9,"_",AY$4),PAAC_2,MATCH(AY$3,PAAC!$E$19:$T$19,0),0)),"",VLOOKUP(CONCATENATE($F9,"_",AY$4),PAAC_2,MATCH(AY$3,PAAC!$E$19:$T$19,0),0)),"")</f>
        <v>2111</v>
      </c>
      <c r="AZ9" t="str">
        <f>+IFERROR(IF(ISBLANK(VLOOKUP(CONCATENATE($F9,"_",AZ$4),PAAC_2,MATCH(AZ$3,PAAC!$E$19:$T$19,0),0)),"",VLOOKUP(CONCATENATE($F9,"_",AZ$4),PAAC_2,MATCH(AZ$3,PAAC!$E$19:$T$19,0),0)),"")</f>
        <v>Se Sensibilizó a ciudadanos/comerciante, Se elaboraron los informes mensuales de: PQR, denuncias actos de corrupción: Se cualificó a serviores, se retroalimentó  a las entidades distritales en temas de respuestas a peticiones ciudadanas y se presentaron los resultados de la medición de satisfacción ciudadana en la red CADE y CLAV</v>
      </c>
      <c r="BA9" t="str">
        <f>+IFERROR(IF(ISBLANK(VLOOKUP(CONCATENATE($F9,"_",BA$4),PAAC_2,MATCH(BA$3,PAAC!$E$19:$T$19,0),0)),"",VLOOKUP(CONCATENATE($F9,"_",BA$4),PAAC_2,MATCH(BA$3,PAAC!$E$19:$T$19,0),0)),"")</f>
        <v>El indicador presentea una sobreejecución en razón a lo siguiente: Hay dos actividades donde la dependencia responsable las programó a demanda por tanto en el momento del reporte es que sabemos cual es la programación y ejecución del mismo presentando 75 unidades de programación. De otro lado hay unas actividades de cualificación a servidiores y comerciantes al igual que evaluaicón de peticiones ciudadanas las cuales presentean una sobre ejecucion de 973 unidades programadas, para una sobreejecución de 1,048 unidades del 49,64 % de lo programada para el periodo</v>
      </c>
      <c r="BB9" t="str">
        <f>+IFERROR(IF(ISBLANK(VLOOKUP(CONCATENATE($F9,"_",BB$4),PAAC_2,MATCH(BB$3,PAAC!$E$19:$T$19,0),0)),"",VLOOKUP(CONCATENATE($F9,"_",BB$4),PAAC_2,MATCH(BB$3,PAAC!$E$19:$T$19,0),0)),"")</f>
        <v>Las actividades realizadas contribuyen a fortalecer los mecanismos de participación de cara a la buena realción entre la entidad y la ciudadanía y a la mejora de los funcionarios para la prestación del servicio de cara al ciudadano</v>
      </c>
      <c r="BC9">
        <f t="shared" si="10"/>
        <v>14144</v>
      </c>
      <c r="BD9">
        <f t="shared" si="10"/>
        <v>10101</v>
      </c>
      <c r="BE9" s="129" t="str">
        <f>+IFERROR(IF(ISBLANK(VLOOKUP(CONCATENATE($F9,"_",BE$4),P1090_4,MATCH(BE$3,PAAC!$E$19:$M$19,0),0)),"",VLOOKUP(CONCATENATE($F9,"_",BE$4),P1090_4,MATCH(BE$3,PAAC!$E$19:$M$19,0),0)),"")</f>
        <v/>
      </c>
      <c r="BF9" s="129" t="str">
        <f>+IFERROR(IF(ISBLANK(VLOOKUP(CONCATENATE($F9,"_",BF$4),P1090_4,MATCH(BF$3,PAAC!$E$19:$M$19,0),0)),"",VLOOKUP(CONCATENATE($F9,"_",BF$4),P1090_4,MATCH(BF$3,PAAC!$E$19:$M$19,0),0)),"")</f>
        <v/>
      </c>
      <c r="BG9" s="129" t="str">
        <f>+IFERROR(IF(ISBLANK(VLOOKUP(CONCATENATE($F9,"_",BG$4),P1090_4,MATCH(BG$3,PAAC!$E$19:$M$19,0),0)),"",VLOOKUP(CONCATENATE($F9,"_",BG$4),P1090_4,MATCH(BG$3,PAAC!$E$19:$M$19,0),0)),"")</f>
        <v/>
      </c>
      <c r="BH9" s="129" t="str">
        <f>+IFERROR(IF(ISBLANK(VLOOKUP(CONCATENATE($F9,"_",BH$4),P1090_4,MATCH(BH$3,PAAC!$E$19:$M$19,0),0)),"",VLOOKUP(CONCATENATE($F9,"_",BH$4),P1090_4,MATCH(BH$3,PAAC!$E$19:$M$19,0),0)),"")</f>
        <v/>
      </c>
      <c r="BI9" s="129" t="str">
        <f>+IFERROR(IF(ISBLANK(VLOOKUP(CONCATENATE($F9,"_",BI$4),P1090_4,MATCH(BI$3,PAAC!$E$19:$M$19,0),0)),"",VLOOKUP(CONCATENATE($F9,"_",BI$4),P1090_4,MATCH(BI$3,PAAC!$E$19:$M$19,0),0)),"")</f>
        <v/>
      </c>
      <c r="BJ9" s="129" t="str">
        <f>+IFERROR(IF(ISBLANK(VLOOKUP(CONCATENATE($F9,"_",BJ$4),P1090_4,MATCH(BJ$3,PAAC!$E$19:$M$19,0),0)),"",VLOOKUP(CONCATENATE($F9,"_",BJ$4),P1090_4,MATCH(BJ$3,PAAC!$E$19:$M$19,0),0)),"")</f>
        <v/>
      </c>
      <c r="BK9" s="129" t="str">
        <f>+IFERROR(IF(ISBLANK(VLOOKUP(CONCATENATE($F9,"_",BK$4),P1090_4,MATCH(BK$3,PAAC!$E$19:$M$19,0),0)),"",VLOOKUP(CONCATENATE($F9,"_",BK$4),P1090_4,MATCH(BK$3,PAAC!$E$19:$M$19,0),0)),"")</f>
        <v/>
      </c>
      <c r="BL9" s="129" t="str">
        <f>+IFERROR(IF(ISBLANK(VLOOKUP(CONCATENATE($F9,"_",BL$4),P1090_4,MATCH(BL$3,PAAC!$E$19:$M$19,0),0)),"",VLOOKUP(CONCATENATE($F9,"_",BL$4),P1090_4,MATCH(BL$3,PAAC!$E$19:$M$19,0),0)),"")</f>
        <v/>
      </c>
      <c r="BM9" s="129" t="str">
        <f>+IFERROR(IF(ISBLANK(VLOOKUP(CONCATENATE($F9,"_",BM$4),P1090_4,MATCH(BM$3,PAAC!$E$19:$M$19,0),0)),"",VLOOKUP(CONCATENATE($F9,"_",BM$4),P1090_4,MATCH(BM$3,PAAC!$E$19:$M$19,0),0)),"")</f>
        <v/>
      </c>
      <c r="BN9" s="129" t="str">
        <f>+IFERROR(IF(ISBLANK(VLOOKUP(CONCATENATE($F9,"_",BN$4),P1090_4,MATCH(BN$3,PAAC!$E$19:$M$19,0),0)),"",VLOOKUP(CONCATENATE($F9,"_",BN$4),P1090_4,MATCH(BN$3,PAAC!$E$19:$M$19,0),0)),"")</f>
        <v/>
      </c>
      <c r="BO9" s="129" t="str">
        <f>+IFERROR(IF(ISBLANK(VLOOKUP(CONCATENATE($F9,"_",BO$4),P1090_4,MATCH(BO$3,PAAC!$E$19:$M$19,0),0)),"",VLOOKUP(CONCATENATE($F9,"_",BO$4),P1090_4,MATCH(BO$3,PAAC!$E$19:$M$19,0),0)),"")</f>
        <v/>
      </c>
      <c r="BP9" s="129" t="str">
        <f>+IFERROR(IF(ISBLANK(VLOOKUP(CONCATENATE($F9,"_",BP$4),P1090_4,MATCH(BP$3,PAAC!$E$19:$M$19,0),0)),"",VLOOKUP(CONCATENATE($F9,"_",BP$4),P1090_4,MATCH(BP$3,PAAC!$E$19:$M$19,0),0)),"")</f>
        <v/>
      </c>
      <c r="BQ9" s="129" t="str">
        <f>+IFERROR(IF(ISBLANK(VLOOKUP(CONCATENATE($F9,"_",BQ$4),P1090_4,MATCH(BQ$3,PAAC!$E$19:$M$19,0),0)),"",VLOOKUP(CONCATENATE($F9,"_",BQ$4),P1090_4,MATCH(BQ$3,PAAC!$E$19:$M$19,0),0)),"")</f>
        <v/>
      </c>
      <c r="BR9" s="129" t="str">
        <f>+IFERROR(IF(ISBLANK(VLOOKUP(CONCATENATE($F9,"_",BR$4),P1090_4,MATCH(BR$3,PAAC!$E$19:$M$19,0),0)),"",VLOOKUP(CONCATENATE($F9,"_",BR$4),P1090_4,MATCH(BR$3,PAAC!$E$19:$M$19,0),0)),"")</f>
        <v/>
      </c>
      <c r="BS9" s="129" t="str">
        <f>+IFERROR(IF(ISBLANK(VLOOKUP(CONCATENATE($F9,"_",BS$4),P1090_4,MATCH(BS$3,PAAC!$E$19:$M$19,0),0)),"",VLOOKUP(CONCATENATE($F9,"_",BS$4),P1090_4,MATCH(BS$3,PAAC!$E$19:$M$19,0),0)),"")</f>
        <v/>
      </c>
      <c r="BT9" s="129" t="str">
        <f>+IFERROR(IF(ISBLANK(VLOOKUP(CONCATENATE($F9,"_",BT$4),P1090_4,MATCH(BT$3,PAAC!$E$19:$M$19,0),0)),"",VLOOKUP(CONCATENATE($F9,"_",BT$4),P1090_4,MATCH(BT$3,PAAC!$E$19:$M$19,0),0)),"")</f>
        <v/>
      </c>
      <c r="BU9" s="129" t="str">
        <f>+IFERROR(IF(ISBLANK(VLOOKUP(CONCATENATE($F9,"_",BU$4),P1090_4,MATCH(BU$3,PAAC!$E$19:$M$19,0),0)),"",VLOOKUP(CONCATENATE($F9,"_",BU$4),P1090_4,MATCH(BU$3,PAAC!$E$19:$M$19,0),0)),"")</f>
        <v/>
      </c>
      <c r="BV9" s="129" t="str">
        <f>+IFERROR(IF(ISBLANK(VLOOKUP(CONCATENATE($F9,"_",BV$4),P1090_4,MATCH(BV$3,PAAC!$E$19:$M$19,0),0)),"",VLOOKUP(CONCATENATE($F9,"_",BV$4),P1090_4,MATCH(BV$3,PAAC!$E$19:$M$19,0),0)),"")</f>
        <v/>
      </c>
      <c r="BW9" s="129" t="str">
        <f>+IFERROR(IF(ISBLANK(VLOOKUP(CONCATENATE($F9,"_",BW$4),P1090_4,MATCH(BW$3,PAAC!$E$19:$M$19,0),0)),"",VLOOKUP(CONCATENATE($F9,"_",BW$4),P1090_4,MATCH(BW$3,PAAC!$E$19:$M$19,0),0)),"")</f>
        <v/>
      </c>
      <c r="BX9" s="129" t="str">
        <f>+IFERROR(IF(ISBLANK(VLOOKUP(CONCATENATE($F9,"_",BX$4),P1090_4,MATCH(BX$3,PAAC!$E$19:$M$19,0),0)),"",VLOOKUP(CONCATENATE($F9,"_",BX$4),P1090_4,MATCH(BX$3,PAAC!$E$19:$M$19,0),0)),"")</f>
        <v/>
      </c>
      <c r="BY9" s="129" t="str">
        <f>+IFERROR(IF(ISBLANK(VLOOKUP(CONCATENATE($F9,"_",BY$4),P1090_4,MATCH(BY$3,PAAC!$E$19:$M$19,0),0)),"",VLOOKUP(CONCATENATE($F9,"_",BY$4),P1090_4,MATCH(BY$3,PAAC!$E$19:$M$19,0),0)),"")</f>
        <v/>
      </c>
      <c r="BZ9" s="129" t="str">
        <f>+IFERROR(IF(ISBLANK(VLOOKUP(CONCATENATE($F9,"_",BZ$4),P1090_4,MATCH(BZ$3,PAAC!$E$19:$M$19,0),0)),"",VLOOKUP(CONCATENATE($F9,"_",BZ$4),P1090_4,MATCH(BZ$3,PAAC!$E$19:$M$19,0),0)),"")</f>
        <v/>
      </c>
      <c r="CA9" s="129" t="str">
        <f>+IFERROR(IF(ISBLANK(VLOOKUP(CONCATENATE($F9,"_",CA$4),P1090_4,MATCH(CA$3,PAAC!$E$19:$M$19,0),0)),"",VLOOKUP(CONCATENATE($F9,"_",CA$4),P1090_4,MATCH(CA$3,PAAC!$E$19:$M$19,0),0)),"")</f>
        <v/>
      </c>
      <c r="CB9" s="129" t="str">
        <f>+IFERROR(IF(ISBLANK(VLOOKUP(CONCATENATE($F9,"_",CB$4),P1090_4,MATCH(CB$3,PAAC!$E$19:$M$19,0),0)),"",VLOOKUP(CONCATENATE($F9,"_",CB$4),P1090_4,MATCH(CB$3,PAAC!$E$19:$M$19,0),0)),"")</f>
        <v/>
      </c>
      <c r="CC9" s="129" t="str">
        <f>+IFERROR(IF(ISBLANK(VLOOKUP(CONCATENATE($F9,"_",CC$4),P1090_4,MATCH(CC$3,PAAC!$E$19:$M$19,0),0)),"",VLOOKUP(CONCATENATE($F9,"_",CC$4),P1090_4,MATCH(CC$3,PAAC!$E$19:$M$19,0),0)),"")</f>
        <v/>
      </c>
      <c r="CD9" s="129" t="str">
        <f t="shared" si="11"/>
        <v/>
      </c>
      <c r="CE9" s="129" t="str">
        <f t="shared" si="3"/>
        <v/>
      </c>
      <c r="CF9" s="129" t="str">
        <f t="shared" si="4"/>
        <v/>
      </c>
      <c r="CG9" s="129" t="str">
        <f t="shared" si="5"/>
        <v/>
      </c>
      <c r="CH9" s="129" t="str">
        <f t="shared" si="6"/>
        <v/>
      </c>
      <c r="CI9" t="str">
        <f t="shared" si="12"/>
        <v>No aplica</v>
      </c>
      <c r="CJ9" t="str">
        <f t="shared" si="12"/>
        <v>Anticipado</v>
      </c>
      <c r="CK9" t="str">
        <f t="shared" si="12"/>
        <v>No adecuado</v>
      </c>
      <c r="CL9" t="str">
        <f t="shared" si="12"/>
        <v>Coherente</v>
      </c>
      <c r="CM9" t="str">
        <f t="shared" si="12"/>
        <v>Indeterminado</v>
      </c>
      <c r="CN9" t="str">
        <f t="shared" si="12"/>
        <v>Indeterminado</v>
      </c>
      <c r="CO9" t="str">
        <f t="shared" si="12"/>
        <v>No aplica</v>
      </c>
      <c r="CP9" t="str">
        <f t="shared" si="12"/>
        <v>Indeterminado</v>
      </c>
      <c r="CQ9" t="str">
        <f t="shared" si="12"/>
        <v>Oportuna</v>
      </c>
      <c r="CR9" t="str">
        <f t="shared" si="12"/>
        <v>Tanto el avance cualitativo y los beneficios deberían estar mas relacionados con el desarrollo de las actividades puntuales en cada mes. Teniendo en cuenta que se ha cumplido en cada mes con el resultado esperado para el indicador, incluso se ha superado, no se deberían reportar dificultades. El reporte de las evidencias debería permitir verificar el número de actividades ejecutadas o al menos los grupos o paquetes que la componen.</v>
      </c>
      <c r="CS9" t="str">
        <f t="shared" si="13"/>
        <v>Fernando Escobar Mendoza</v>
      </c>
      <c r="CT9" t="str">
        <f t="shared" si="13"/>
        <v>Cumple</v>
      </c>
      <c r="CU9" t="str">
        <f t="shared" si="13"/>
        <v>Anticipado</v>
      </c>
      <c r="CV9" t="str">
        <f t="shared" si="13"/>
        <v>Adecuado</v>
      </c>
      <c r="CW9" t="str">
        <f t="shared" si="13"/>
        <v>Coherente</v>
      </c>
      <c r="CX9" t="str">
        <f t="shared" si="13"/>
        <v>Concuerda</v>
      </c>
      <c r="CY9" t="str">
        <f t="shared" si="13"/>
        <v>Concuerda</v>
      </c>
      <c r="CZ9" t="str">
        <f t="shared" si="13"/>
        <v>No aplica</v>
      </c>
      <c r="DA9" t="str">
        <f t="shared" si="13"/>
        <v>Adecuado</v>
      </c>
      <c r="DB9" t="str">
        <f t="shared" si="13"/>
        <v>Oportuna</v>
      </c>
      <c r="DC9" t="str">
        <f t="shared" si="14"/>
        <v>Debería reconsiderarse la cuantificación de los entregables de este componente del PAAC, ya que como se manifestó en el análisis de dificultades existen algunas actividades que son por demanda.</v>
      </c>
      <c r="DD9" t="str">
        <f t="shared" si="14"/>
        <v>Fernando Escobar Mendoza</v>
      </c>
      <c r="DE9" t="e">
        <f t="shared" si="14"/>
        <v>#REF!</v>
      </c>
      <c r="DF9" t="e">
        <f t="shared" si="14"/>
        <v>#REF!</v>
      </c>
      <c r="DG9" t="e">
        <f t="shared" si="14"/>
        <v>#REF!</v>
      </c>
      <c r="DH9" t="e">
        <f t="shared" si="14"/>
        <v>#REF!</v>
      </c>
      <c r="DI9" t="e">
        <f t="shared" si="14"/>
        <v>#REF!</v>
      </c>
      <c r="DJ9" t="e">
        <f t="shared" si="14"/>
        <v>#REF!</v>
      </c>
      <c r="DK9" t="e">
        <f t="shared" si="14"/>
        <v>#REF!</v>
      </c>
      <c r="DL9" t="e">
        <f t="shared" si="14"/>
        <v>#REF!</v>
      </c>
      <c r="DM9" t="e">
        <f t="shared" si="15"/>
        <v>#REF!</v>
      </c>
      <c r="DN9" t="e">
        <f t="shared" si="15"/>
        <v>#REF!</v>
      </c>
      <c r="DO9" t="e">
        <f t="shared" si="15"/>
        <v>#REF!</v>
      </c>
      <c r="DP9" t="e">
        <f t="shared" si="15"/>
        <v>#REF!</v>
      </c>
      <c r="DQ9" t="e">
        <f t="shared" si="15"/>
        <v>#REF!</v>
      </c>
      <c r="DR9" t="e">
        <f t="shared" si="15"/>
        <v>#REF!</v>
      </c>
      <c r="DS9" t="e">
        <f t="shared" si="15"/>
        <v>#REF!</v>
      </c>
      <c r="DT9" t="e">
        <f t="shared" si="15"/>
        <v>#REF!</v>
      </c>
      <c r="DU9" t="e">
        <f t="shared" si="15"/>
        <v>#REF!</v>
      </c>
      <c r="DV9" t="e">
        <f t="shared" si="15"/>
        <v>#REF!</v>
      </c>
      <c r="DW9" t="e">
        <f t="shared" si="15"/>
        <v>#REF!</v>
      </c>
      <c r="DX9" t="e">
        <f t="shared" si="15"/>
        <v>#REF!</v>
      </c>
    </row>
    <row r="10" spans="1:129" x14ac:dyDescent="0.3">
      <c r="A10" s="423" t="str">
        <f t="shared" ref="A10:A58" si="16">+F10</f>
        <v>05_PAAC</v>
      </c>
      <c r="B10" t="str">
        <f t="shared" ref="B10:B58" si="17">+C10&amp;"_"&amp;D10</f>
        <v>5_Oficina Asesora de Planeación</v>
      </c>
      <c r="C10">
        <f t="shared" si="8"/>
        <v>5</v>
      </c>
      <c r="D10" t="str">
        <f>+VLOOKUP($F10,bd,MATCH(D$5,bdfila,0),0)</f>
        <v>Oficina Asesora de Planeación</v>
      </c>
      <c r="E10" t="str">
        <f t="shared" si="1"/>
        <v>oap</v>
      </c>
      <c r="F10" s="208" t="str">
        <f>+PAAC!C14</f>
        <v>05_PAAC</v>
      </c>
      <c r="G10" t="str">
        <f t="shared" si="2"/>
        <v>Constante</v>
      </c>
      <c r="H10" t="str">
        <f t="shared" si="2"/>
        <v>Porcentaje</v>
      </c>
      <c r="I10" t="str">
        <f t="shared" si="2"/>
        <v>No Disponible / No Aplica</v>
      </c>
      <c r="J10" t="str">
        <f t="shared" si="2"/>
        <v>No Disponible / No Aplica</v>
      </c>
      <c r="K10" t="str">
        <f>+IFERROR(VLOOKUP($F10,PAAC_1,MATCH(K$5,PAAC!$C$9:$AA$9,0),0),"")</f>
        <v>Suma</v>
      </c>
      <c r="L10">
        <f>+IFERROR(VLOOKUP($F10,PAAC_1,MATCH(L$5,PAAC!$C$9:$AA$9,0),0),"")</f>
        <v>235</v>
      </c>
      <c r="M10">
        <f t="shared" si="9"/>
        <v>51</v>
      </c>
      <c r="N10">
        <f>+IFERROR(VLOOKUP($F10,PAAC_1,MATCH(N$5,PAAC!$C$9:$AA$9,0),0),"")</f>
        <v>17</v>
      </c>
      <c r="O10">
        <f>+IFERROR(VLOOKUP($F10,PAAC_1,MATCH(O$5,PAAC!$C$9:$AA$9,0),0),"")</f>
        <v>17</v>
      </c>
      <c r="P10">
        <f>+IFERROR(VLOOKUP($F10,PAAC_1,MATCH(P$5,PAAC!$C$9:$AA$9,0),0),"")</f>
        <v>17</v>
      </c>
      <c r="Q10">
        <f>+IFERROR(VLOOKUP($F10,PAAC_1,MATCH(Q$5,PAAC!$C$9:$AA$9,0),0),"")</f>
        <v>20</v>
      </c>
      <c r="R10">
        <f>+IFERROR(VLOOKUP($F10,PAAC_1,MATCH(R$5,PAAC!$C$9:$AA$9,0),0),"")</f>
        <v>24</v>
      </c>
      <c r="S10">
        <f>+IFERROR(VLOOKUP($F10,PAAC_1,MATCH(S$5,PAAC!$C$9:$AA$9,0),0),"")</f>
        <v>19</v>
      </c>
      <c r="T10">
        <f>+IFERROR(VLOOKUP($F10,PAAC_1,MATCH(T$5,PAAC!$C$9:$AA$9,0),0),"")</f>
        <v>100</v>
      </c>
      <c r="U10" t="str">
        <f>+IFERROR(VLOOKUP($F10,PAAC_1,MATCH(U$5,PAAC!$C$9:$AA$9,0),0),"")</f>
        <v>Este indicador mide el avance en la ejecución de las actividades programadas en la vigencia, para el Componente 5 del Plan Anticorrupción y Atención al Ciudadano en la Secretaria General de la Alcaldía Mayor de Bogotá D.C.</v>
      </c>
      <c r="V10" t="str">
        <f>+IFERROR(VLOOKUP($F10,PAAC_1,MATCH(V$5,PAAC!$C$9:$AA$9,0),0),"")</f>
        <v>Prestar apoyo técnico a las dependencias en lo relacionado con la formulación y el desarrollo de las actividades asociadas al componente 5 del Plan Anticorrupción y Atención al Ciudadano.
Hacer monitoreo y seguimiento a las dependencias responsables de la ejecución de las actividades programadas en el componenente 5 del Plan Anticorrupción y Atención al Ciudadano.</v>
      </c>
      <c r="W10" t="str">
        <f>+IFERROR(VLOOKUP($F10,PAAC_1,MATCH(W$5,PAAC!$C$9:$AA$9,0),0),"")</f>
        <v>Desarrollar acciones para la implementación de la ley 1712 de 2014 y los lineamientos  del primer objetivo del CONPES 167 de 2013 “Estrategia para el mejoramiento del acceso y la calidad de la información pública”</v>
      </c>
      <c r="X10" t="str">
        <f>+IFERROR(VLOOKUP($F10,PAAC_1,MATCH(X$5,PAAC!$C$9:$AA$9,0),0),"")</f>
        <v>Botón de transparencia de la página web de la Secretaría General
Reportes de las dependencias</v>
      </c>
      <c r="Y10">
        <f>+IFERROR(IF(ISBLANK(VLOOKUP(CONCATENATE($F10,"_",Y$4),PAAC_2,MATCH(Y$3,PAAC!$E$19:$T$19,0),0)),"",VLOOKUP(CONCATENATE($F10,"_",Y$4),PAAC_2,MATCH(Y$3,PAAC!$E$19:$T$19,0),0)),"")</f>
        <v>17</v>
      </c>
      <c r="Z10">
        <f>+IFERROR(IF(ISBLANK(VLOOKUP(CONCATENATE($F10,"_",Z$4),PAAC_2,MATCH(Z$3,PAAC!$E$19:$T$19,0),0)),"",VLOOKUP(CONCATENATE($F10,"_",Z$4),PAAC_2,MATCH(Z$3,PAAC!$E$19:$T$19,0),0)),"")</f>
        <v>17</v>
      </c>
      <c r="AA10" t="str">
        <f>+IFERROR(IF(ISBLANK(VLOOKUP(CONCATENATE($F10,"_",AA$4),PAAC_2,MATCH(AA$3,PAAC!$E$19:$T$19,0),0)),"",VLOOKUP(CONCATENATE($F10,"_",AA$4),PAAC_2,MATCH(AA$3,PAAC!$E$19:$T$19,0),0)),"")</f>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v>
      </c>
      <c r="AB10" t="str">
        <f>+IFERROR(IF(ISBLANK(VLOOKUP(CONCATENATE($F10,"_",AB$4),PAAC_2,MATCH(AB$3,PAAC!$E$19:$T$19,0),0)),"",VLOOKUP(CONCATENATE($F10,"_",AB$4),PAAC_2,MATCH(AB$3,PAAC!$E$19:$T$19,0),0)),"")</f>
        <v>No se presentaron retrasos o dificultades para la realización de las actividades</v>
      </c>
      <c r="AC10" t="str">
        <f>+IFERROR(IF(ISBLANK(VLOOKUP(CONCATENATE($F10,"_",AC$4),PAAC_2,MATCH(AC$3,PAAC!$E$19:$T$19,0),0)),"",VLOOKUP(CONCATENATE($F10,"_",AC$4),PAAC_2,MATCH(AC$3,PAAC!$E$19:$T$19,0),0)),"")</f>
        <v>Las actividades realizadas contribuyen a fortalecer los mecanismos que permitan al ciudadano tener accso a la inforamción pública de manera clara, precisa y oportuna</v>
      </c>
      <c r="AD10">
        <f>+IFERROR(IF(ISBLANK(VLOOKUP(CONCATENATE($F10,"_",AD$4),PAAC_2,MATCH(AD$3,PAAC!$E$19:$T$19,0),0)),"",VLOOKUP(CONCATENATE($F10,"_",AD$4),PAAC_2,MATCH(AD$3,PAAC!$E$19:$T$19,0),0)),"")</f>
        <v>17</v>
      </c>
      <c r="AE10">
        <f>+IFERROR(IF(ISBLANK(VLOOKUP(CONCATENATE($F10,"_",AE$4),PAAC_2,MATCH(AE$3,PAAC!$E$19:$T$19,0),0)),"",VLOOKUP(CONCATENATE($F10,"_",AE$4),PAAC_2,MATCH(AE$3,PAAC!$E$19:$T$19,0),0)),"")</f>
        <v>17</v>
      </c>
      <c r="AF10" t="str">
        <f>+IFERROR(IF(ISBLANK(VLOOKUP(CONCATENATE($F10,"_",AF$4),PAAC_2,MATCH(AF$3,PAAC!$E$19:$T$19,0),0)),"",VLOOKUP(CONCATENATE($F10,"_",AF$4),PAAC_2,MATCH(AF$3,PAAC!$E$19:$T$19,0),0)),"")</f>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v>
      </c>
      <c r="AG10" t="str">
        <f>+IFERROR(IF(ISBLANK(VLOOKUP(CONCATENATE($F10,"_",AG$4),PAAC_2,MATCH(AG$3,PAAC!$E$19:$T$19,0),0)),"",VLOOKUP(CONCATENATE($F10,"_",AG$4),PAAC_2,MATCH(AG$3,PAAC!$E$19:$T$19,0),0)),"")</f>
        <v>No se presentaron retrasos o dificultades para la realización de las actividades</v>
      </c>
      <c r="AH10" t="str">
        <f>+IFERROR(IF(ISBLANK(VLOOKUP(CONCATENATE($F10,"_",AH$4),PAAC_2,MATCH(AH$3,PAAC!$E$19:$T$19,0),0)),"",VLOOKUP(CONCATENATE($F10,"_",AH$4),PAAC_2,MATCH(AH$3,PAAC!$E$19:$T$19,0),0)),"")</f>
        <v>Las actividades realizadas contribuyen a fortalecer los mecanismos que permitan al ciudadano tener accso a la inforamción pública de manera clara, precisa y oportuna</v>
      </c>
      <c r="AI10">
        <f>+IFERROR(IF(ISBLANK(VLOOKUP(CONCATENATE($F10,"_",AI$4),PAAC_2,MATCH(AI$3,PAAC!$E$19:$T$19,0),0)),"",VLOOKUP(CONCATENATE($F10,"_",AI$4),PAAC_2,MATCH(AI$3,PAAC!$E$19:$T$19,0),0)),"")</f>
        <v>17</v>
      </c>
      <c r="AJ10">
        <f>+IFERROR(IF(ISBLANK(VLOOKUP(CONCATENATE($F10,"_",AJ$4),PAAC_2,MATCH(AJ$3,PAAC!$E$19:$T$19,0),0)),"",VLOOKUP(CONCATENATE($F10,"_",AJ$4),PAAC_2,MATCH(AJ$3,PAAC!$E$19:$T$19,0),0)),"")</f>
        <v>17</v>
      </c>
      <c r="AK10" t="str">
        <f>+IFERROR(IF(ISBLANK(VLOOKUP(CONCATENATE($F10,"_",AK$4),PAAC_2,MATCH(AK$3,PAAC!$E$19:$T$19,0),0)),"",VLOOKUP(CONCATENATE($F10,"_",AK$4),PAAC_2,MATCH(AK$3,PAAC!$E$19:$T$19,0),0)),"")</f>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 seguimiento al cumplimiento del esquema de publicación</v>
      </c>
      <c r="AL10" t="str">
        <f>+IFERROR(IF(ISBLANK(VLOOKUP(CONCATENATE($F10,"_",AL$4),PAAC_2,MATCH(AL$3,PAAC!$E$19:$T$19,0),0)),"",VLOOKUP(CONCATENATE($F10,"_",AL$4),PAAC_2,MATCH(AL$3,PAAC!$E$19:$T$19,0),0)),"")</f>
        <v>Por efectos de la emergencia sanitaria se han presentado dificultades para la ralización de las actividades pero se han podido solucionar con el uso de la tecnología</v>
      </c>
      <c r="AM10" t="str">
        <f>+IFERROR(IF(ISBLANK(VLOOKUP(CONCATENATE($F10,"_",AM$4),PAAC_2,MATCH(AM$3,PAAC!$E$19:$T$19,0),0)),"",VLOOKUP(CONCATENATE($F10,"_",AM$4),PAAC_2,MATCH(AM$3,PAAC!$E$19:$T$19,0),0)),"")</f>
        <v>Las actividades realizadas contribuyen a fortalecer los mecanismos que permitan al ciudadano tener accso a la inforamción pública de manera clara, precisa y oportuna</v>
      </c>
      <c r="AN10">
        <f>+IFERROR(IF(ISBLANK(VLOOKUP(CONCATENATE($F10,"_",AN$4),PAAC_2,MATCH(AN$3,PAAC!$E$19:$T$19,0),0)),"",VLOOKUP(CONCATENATE($F10,"_",AN$4),PAAC_2,MATCH(AN$3,PAAC!$E$19:$T$19,0),0)),"")</f>
        <v>20</v>
      </c>
      <c r="AO10">
        <f>+IFERROR(IF(ISBLANK(VLOOKUP(CONCATENATE($F10,"_",AO$4),PAAC_2,MATCH(AO$3,PAAC!$E$19:$T$19,0),0)),"",VLOOKUP(CONCATENATE($F10,"_",AO$4),PAAC_2,MATCH(AO$3,PAAC!$E$19:$T$19,0),0)),"")</f>
        <v>20</v>
      </c>
      <c r="AP10" t="str">
        <f>+IFERROR(IF(ISBLANK(VLOOKUP(CONCATENATE($F10,"_",AP$4),PAAC_2,MATCH(AP$3,PAAC!$E$19:$T$19,0),0)),"",VLOOKUP(CONCATENATE($F10,"_",AP$4),PAAC_2,MATCH(AP$3,PAAC!$E$19:$T$19,0),0)),"")</f>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 actualización del esquema de publicación, capacitación en temas de contratación</v>
      </c>
      <c r="AQ10" t="str">
        <f>+IFERROR(IF(ISBLANK(VLOOKUP(CONCATENATE($F10,"_",AQ$4),PAAC_2,MATCH(AQ$3,PAAC!$E$19:$T$19,0),0)),"",VLOOKUP(CONCATENATE($F10,"_",AQ$4),PAAC_2,MATCH(AQ$3,PAAC!$E$19:$T$19,0),0)),"")</f>
        <v>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v>
      </c>
      <c r="AR10" t="str">
        <f>+IFERROR(IF(ISBLANK(VLOOKUP(CONCATENATE($F10,"_",AR$4),PAAC_2,MATCH(AR$3,PAAC!$E$19:$T$19,0),0)),"",VLOOKUP(CONCATENATE($F10,"_",AR$4),PAAC_2,MATCH(AR$3,PAAC!$E$19:$T$19,0),0)),"")</f>
        <v>Las actividades realizadas contribuyen a fortalecer los mecanismos que permitan al ciudadano tener accso a la inforamción pública de manera clara, precisa y oportuna</v>
      </c>
      <c r="AS10">
        <f>+IFERROR(IF(ISBLANK(VLOOKUP(CONCATENATE($F10,"_",AS$4),PAAC_2,MATCH(AS$3,PAAC!$E$19:$T$19,0),0)),"",VLOOKUP(CONCATENATE($F10,"_",AS$4),PAAC_2,MATCH(AS$3,PAAC!$E$19:$T$19,0),0)),"")</f>
        <v>24</v>
      </c>
      <c r="AT10">
        <f>+IFERROR(IF(ISBLANK(VLOOKUP(CONCATENATE($F10,"_",AT$4),PAAC_2,MATCH(AT$3,PAAC!$E$19:$T$19,0),0)),"",VLOOKUP(CONCATENATE($F10,"_",AT$4),PAAC_2,MATCH(AT$3,PAAC!$E$19:$T$19,0),0)),"")</f>
        <v>24</v>
      </c>
      <c r="AU10" t="str">
        <f>+IFERROR(IF(ISBLANK(VLOOKUP(CONCATENATE($F10,"_",AU$4),PAAC_2,MATCH(AU$3,PAAC!$E$19:$T$19,0),0)),"",VLOOKUP(CONCATENATE($F10,"_",AU$4),PAAC_2,MATCH(AU$3,PAAC!$E$19:$T$19,0),0)),"")</f>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pública,capacitación en temas de contratación</v>
      </c>
      <c r="AV10" t="str">
        <f>+IFERROR(IF(ISBLANK(VLOOKUP(CONCATENATE($F10,"_",AV$4),PAAC_2,MATCH(AV$3,PAAC!$E$19:$T$19,0),0)),"",VLOOKUP(CONCATENATE($F10,"_",AV$4),PAAC_2,MATCH(AV$3,PAAC!$E$19:$T$19,0),0)),"")</f>
        <v>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v>
      </c>
      <c r="AW10" t="str">
        <f>+IFERROR(IF(ISBLANK(VLOOKUP(CONCATENATE($F10,"_",AW$4),PAAC_2,MATCH(AW$3,PAAC!$E$19:$T$19,0),0)),"",VLOOKUP(CONCATENATE($F10,"_",AW$4),PAAC_2,MATCH(AW$3,PAAC!$E$19:$T$19,0),0)),"")</f>
        <v>Las actividades realizadas contribuyen a fortalecer los mecanismos que permitan al ciudadano tener accso a la inforamción pública de manera clara, precisa y oportuna</v>
      </c>
      <c r="AX10">
        <f>+IFERROR(IF(ISBLANK(VLOOKUP(CONCATENATE($F10,"_",AX$4),PAAC_2,MATCH(AX$3,PAAC!$E$19:$T$19,0),0)),"",VLOOKUP(CONCATENATE($F10,"_",AX$4),PAAC_2,MATCH(AX$3,PAAC!$E$19:$T$19,0),0)),"")</f>
        <v>19</v>
      </c>
      <c r="AY10">
        <f>+IFERROR(IF(ISBLANK(VLOOKUP(CONCATENATE($F10,"_",AY$4),PAAC_2,MATCH(AY$3,PAAC!$E$19:$T$19,0),0)),"",VLOOKUP(CONCATENATE($F10,"_",AY$4),PAAC_2,MATCH(AY$3,PAAC!$E$19:$T$19,0),0)),"")</f>
        <v>19</v>
      </c>
      <c r="AZ10" t="str">
        <f>+IFERROR(IF(ISBLANK(VLOOKUP(CONCATENATE($F10,"_",AZ$4),PAAC_2,MATCH(AZ$3,PAAC!$E$19:$T$19,0),0)),"",VLOOKUP(CONCATENATE($F10,"_",AZ$4),PAAC_2,MATCH(AZ$3,PAAC!$E$19:$T$19,0),0)),"")</f>
        <v>Se realizaron publicaciones en la página web de la entidad conforme al esquema de publicación, se realizó seguimiento al cumplimiento de términos legales para resolver peticiones,  se consolidó la inforamción de peticiones ciudadanas,  Se realizó seguimiento del chat y  del chat-Bot de la línea 195 y de la aplicación SuperCADE Virtual, se elaboró un informe de seguimiento a peticiones de acceso a la información pública.</v>
      </c>
      <c r="BA10" t="str">
        <f>+IFERROR(IF(ISBLANK(VLOOKUP(CONCATENATE($F10,"_",BA$4),PAAC_2,MATCH(BA$3,PAAC!$E$19:$T$19,0),0)),"",VLOOKUP(CONCATENATE($F10,"_",BA$4),PAAC_2,MATCH(BA$3,PAAC!$E$19:$T$19,0),0)),"")</f>
        <v>Ninguna</v>
      </c>
      <c r="BB10" t="str">
        <f>+IFERROR(IF(ISBLANK(VLOOKUP(CONCATENATE($F10,"_",BB$4),PAAC_2,MATCH(BB$3,PAAC!$E$19:$T$19,0),0)),"",VLOOKUP(CONCATENATE($F10,"_",BB$4),PAAC_2,MATCH(BB$3,PAAC!$E$19:$T$19,0),0)),"")</f>
        <v>Las actividades realizadas contribuyen a fortalecer los mecanismos que permitan al ciudadano tener accso a la inforamción pública de manera clara, precisa y oportuna, de igual forma la información obtenida se utiliza para mejorar los procesos y prestar un mejor servicio</v>
      </c>
      <c r="BC10">
        <f t="shared" si="10"/>
        <v>114</v>
      </c>
      <c r="BD10">
        <f t="shared" si="10"/>
        <v>114</v>
      </c>
      <c r="BE10" s="129" t="str">
        <f>+IFERROR(IF(ISBLANK(VLOOKUP(CONCATENATE($F10,"_",BE$4),P1090_4,MATCH(BE$3,PAAC!$E$19:$M$19,0),0)),"",VLOOKUP(CONCATENATE($F10,"_",BE$4),P1090_4,MATCH(BE$3,PAAC!$E$19:$M$19,0),0)),"")</f>
        <v/>
      </c>
      <c r="BF10" s="129" t="str">
        <f>+IFERROR(IF(ISBLANK(VLOOKUP(CONCATENATE($F10,"_",BF$4),P1090_4,MATCH(BF$3,PAAC!$E$19:$M$19,0),0)),"",VLOOKUP(CONCATENATE($F10,"_",BF$4),P1090_4,MATCH(BF$3,PAAC!$E$19:$M$19,0),0)),"")</f>
        <v/>
      </c>
      <c r="BG10" s="129" t="str">
        <f>+IFERROR(IF(ISBLANK(VLOOKUP(CONCATENATE($F10,"_",BG$4),P1090_4,MATCH(BG$3,PAAC!$E$19:$M$19,0),0)),"",VLOOKUP(CONCATENATE($F10,"_",BG$4),P1090_4,MATCH(BG$3,PAAC!$E$19:$M$19,0),0)),"")</f>
        <v/>
      </c>
      <c r="BH10" s="129" t="str">
        <f>+IFERROR(IF(ISBLANK(VLOOKUP(CONCATENATE($F10,"_",BH$4),P1090_4,MATCH(BH$3,PAAC!$E$19:$M$19,0),0)),"",VLOOKUP(CONCATENATE($F10,"_",BH$4),P1090_4,MATCH(BH$3,PAAC!$E$19:$M$19,0),0)),"")</f>
        <v/>
      </c>
      <c r="BI10" s="129" t="str">
        <f>+IFERROR(IF(ISBLANK(VLOOKUP(CONCATENATE($F10,"_",BI$4),P1090_4,MATCH(BI$3,PAAC!$E$19:$M$19,0),0)),"",VLOOKUP(CONCATENATE($F10,"_",BI$4),P1090_4,MATCH(BI$3,PAAC!$E$19:$M$19,0),0)),"")</f>
        <v/>
      </c>
      <c r="BJ10" s="129" t="str">
        <f>+IFERROR(IF(ISBLANK(VLOOKUP(CONCATENATE($F10,"_",BJ$4),P1090_4,MATCH(BJ$3,PAAC!$E$19:$M$19,0),0)),"",VLOOKUP(CONCATENATE($F10,"_",BJ$4),P1090_4,MATCH(BJ$3,PAAC!$E$19:$M$19,0),0)),"")</f>
        <v/>
      </c>
      <c r="BK10" s="129" t="str">
        <f>+IFERROR(IF(ISBLANK(VLOOKUP(CONCATENATE($F10,"_",BK$4),P1090_4,MATCH(BK$3,PAAC!$E$19:$M$19,0),0)),"",VLOOKUP(CONCATENATE($F10,"_",BK$4),P1090_4,MATCH(BK$3,PAAC!$E$19:$M$19,0),0)),"")</f>
        <v/>
      </c>
      <c r="BL10" s="129" t="str">
        <f>+IFERROR(IF(ISBLANK(VLOOKUP(CONCATENATE($F10,"_",BL$4),P1090_4,MATCH(BL$3,PAAC!$E$19:$M$19,0),0)),"",VLOOKUP(CONCATENATE($F10,"_",BL$4),P1090_4,MATCH(BL$3,PAAC!$E$19:$M$19,0),0)),"")</f>
        <v/>
      </c>
      <c r="BM10" s="129" t="str">
        <f>+IFERROR(IF(ISBLANK(VLOOKUP(CONCATENATE($F10,"_",BM$4),P1090_4,MATCH(BM$3,PAAC!$E$19:$M$19,0),0)),"",VLOOKUP(CONCATENATE($F10,"_",BM$4),P1090_4,MATCH(BM$3,PAAC!$E$19:$M$19,0),0)),"")</f>
        <v/>
      </c>
      <c r="BN10" s="129" t="str">
        <f>+IFERROR(IF(ISBLANK(VLOOKUP(CONCATENATE($F10,"_",BN$4),P1090_4,MATCH(BN$3,PAAC!$E$19:$M$19,0),0)),"",VLOOKUP(CONCATENATE($F10,"_",BN$4),P1090_4,MATCH(BN$3,PAAC!$E$19:$M$19,0),0)),"")</f>
        <v/>
      </c>
      <c r="BO10" s="129" t="str">
        <f>+IFERROR(IF(ISBLANK(VLOOKUP(CONCATENATE($F10,"_",BO$4),P1090_4,MATCH(BO$3,PAAC!$E$19:$M$19,0),0)),"",VLOOKUP(CONCATENATE($F10,"_",BO$4),P1090_4,MATCH(BO$3,PAAC!$E$19:$M$19,0),0)),"")</f>
        <v/>
      </c>
      <c r="BP10" s="129" t="str">
        <f>+IFERROR(IF(ISBLANK(VLOOKUP(CONCATENATE($F10,"_",BP$4),P1090_4,MATCH(BP$3,PAAC!$E$19:$M$19,0),0)),"",VLOOKUP(CONCATENATE($F10,"_",BP$4),P1090_4,MATCH(BP$3,PAAC!$E$19:$M$19,0),0)),"")</f>
        <v/>
      </c>
      <c r="BQ10" s="129" t="str">
        <f>+IFERROR(IF(ISBLANK(VLOOKUP(CONCATENATE($F10,"_",BQ$4),P1090_4,MATCH(BQ$3,PAAC!$E$19:$M$19,0),0)),"",VLOOKUP(CONCATENATE($F10,"_",BQ$4),P1090_4,MATCH(BQ$3,PAAC!$E$19:$M$19,0),0)),"")</f>
        <v/>
      </c>
      <c r="BR10" s="129" t="str">
        <f>+IFERROR(IF(ISBLANK(VLOOKUP(CONCATENATE($F10,"_",BR$4),P1090_4,MATCH(BR$3,PAAC!$E$19:$M$19,0),0)),"",VLOOKUP(CONCATENATE($F10,"_",BR$4),P1090_4,MATCH(BR$3,PAAC!$E$19:$M$19,0),0)),"")</f>
        <v/>
      </c>
      <c r="BS10" s="129" t="str">
        <f>+IFERROR(IF(ISBLANK(VLOOKUP(CONCATENATE($F10,"_",BS$4),P1090_4,MATCH(BS$3,PAAC!$E$19:$M$19,0),0)),"",VLOOKUP(CONCATENATE($F10,"_",BS$4),P1090_4,MATCH(BS$3,PAAC!$E$19:$M$19,0),0)),"")</f>
        <v/>
      </c>
      <c r="BT10" s="129" t="str">
        <f>+IFERROR(IF(ISBLANK(VLOOKUP(CONCATENATE($F10,"_",BT$4),P1090_4,MATCH(BT$3,PAAC!$E$19:$M$19,0),0)),"",VLOOKUP(CONCATENATE($F10,"_",BT$4),P1090_4,MATCH(BT$3,PAAC!$E$19:$M$19,0),0)),"")</f>
        <v/>
      </c>
      <c r="BU10" s="129" t="str">
        <f>+IFERROR(IF(ISBLANK(VLOOKUP(CONCATENATE($F10,"_",BU$4),P1090_4,MATCH(BU$3,PAAC!$E$19:$M$19,0),0)),"",VLOOKUP(CONCATENATE($F10,"_",BU$4),P1090_4,MATCH(BU$3,PAAC!$E$19:$M$19,0),0)),"")</f>
        <v/>
      </c>
      <c r="BV10" s="129" t="str">
        <f>+IFERROR(IF(ISBLANK(VLOOKUP(CONCATENATE($F10,"_",BV$4),P1090_4,MATCH(BV$3,PAAC!$E$19:$M$19,0),0)),"",VLOOKUP(CONCATENATE($F10,"_",BV$4),P1090_4,MATCH(BV$3,PAAC!$E$19:$M$19,0),0)),"")</f>
        <v/>
      </c>
      <c r="BW10" s="129" t="str">
        <f>+IFERROR(IF(ISBLANK(VLOOKUP(CONCATENATE($F10,"_",BW$4),P1090_4,MATCH(BW$3,PAAC!$E$19:$M$19,0),0)),"",VLOOKUP(CONCATENATE($F10,"_",BW$4),P1090_4,MATCH(BW$3,PAAC!$E$19:$M$19,0),0)),"")</f>
        <v/>
      </c>
      <c r="BX10" s="129" t="str">
        <f>+IFERROR(IF(ISBLANK(VLOOKUP(CONCATENATE($F10,"_",BX$4),P1090_4,MATCH(BX$3,PAAC!$E$19:$M$19,0),0)),"",VLOOKUP(CONCATENATE($F10,"_",BX$4),P1090_4,MATCH(BX$3,PAAC!$E$19:$M$19,0),0)),"")</f>
        <v/>
      </c>
      <c r="BY10" s="129" t="str">
        <f>+IFERROR(IF(ISBLANK(VLOOKUP(CONCATENATE($F10,"_",BY$4),P1090_4,MATCH(BY$3,PAAC!$E$19:$M$19,0),0)),"",VLOOKUP(CONCATENATE($F10,"_",BY$4),P1090_4,MATCH(BY$3,PAAC!$E$19:$M$19,0),0)),"")</f>
        <v/>
      </c>
      <c r="BZ10" s="129" t="str">
        <f>+IFERROR(IF(ISBLANK(VLOOKUP(CONCATENATE($F10,"_",BZ$4),P1090_4,MATCH(BZ$3,PAAC!$E$19:$M$19,0),0)),"",VLOOKUP(CONCATENATE($F10,"_",BZ$4),P1090_4,MATCH(BZ$3,PAAC!$E$19:$M$19,0),0)),"")</f>
        <v/>
      </c>
      <c r="CA10" s="129" t="str">
        <f>+IFERROR(IF(ISBLANK(VLOOKUP(CONCATENATE($F10,"_",CA$4),P1090_4,MATCH(CA$3,PAAC!$E$19:$M$19,0),0)),"",VLOOKUP(CONCATENATE($F10,"_",CA$4),P1090_4,MATCH(CA$3,PAAC!$E$19:$M$19,0),0)),"")</f>
        <v/>
      </c>
      <c r="CB10" s="129" t="str">
        <f>+IFERROR(IF(ISBLANK(VLOOKUP(CONCATENATE($F10,"_",CB$4),P1090_4,MATCH(CB$3,PAAC!$E$19:$M$19,0),0)),"",VLOOKUP(CONCATENATE($F10,"_",CB$4),P1090_4,MATCH(CB$3,PAAC!$E$19:$M$19,0),0)),"")</f>
        <v/>
      </c>
      <c r="CC10" s="129" t="str">
        <f>+IFERROR(IF(ISBLANK(VLOOKUP(CONCATENATE($F10,"_",CC$4),P1090_4,MATCH(CC$3,PAAC!$E$19:$M$19,0),0)),"",VLOOKUP(CONCATENATE($F10,"_",CC$4),P1090_4,MATCH(CC$3,PAAC!$E$19:$M$19,0),0)),"")</f>
        <v/>
      </c>
      <c r="CD10" s="129" t="str">
        <f t="shared" si="11"/>
        <v/>
      </c>
      <c r="CE10" s="129" t="str">
        <f t="shared" si="3"/>
        <v/>
      </c>
      <c r="CF10" s="129" t="str">
        <f t="shared" si="4"/>
        <v/>
      </c>
      <c r="CG10" s="129" t="str">
        <f t="shared" si="5"/>
        <v/>
      </c>
      <c r="CH10" s="129" t="str">
        <f t="shared" si="6"/>
        <v/>
      </c>
      <c r="CI10" t="str">
        <f t="shared" si="12"/>
        <v>No aplica</v>
      </c>
      <c r="CJ10" t="str">
        <f t="shared" si="12"/>
        <v>Cumplido</v>
      </c>
      <c r="CK10" t="str">
        <f t="shared" si="12"/>
        <v>No adecuado</v>
      </c>
      <c r="CL10" t="str">
        <f t="shared" si="12"/>
        <v>Coherente</v>
      </c>
      <c r="CM10" t="str">
        <f t="shared" si="12"/>
        <v>Indeterminado</v>
      </c>
      <c r="CN10" t="str">
        <f t="shared" si="12"/>
        <v>Indeterminado</v>
      </c>
      <c r="CO10" t="str">
        <f t="shared" si="12"/>
        <v>No aplica</v>
      </c>
      <c r="CP10" t="str">
        <f t="shared" si="12"/>
        <v>Indeterminado</v>
      </c>
      <c r="CQ10" t="str">
        <f t="shared" si="12"/>
        <v>Oportuna</v>
      </c>
      <c r="CR10" t="str">
        <f t="shared" si="12"/>
        <v xml:space="preserve">El reporte de las evidencias debería guardar correspondencia con el número de las actividades ejecutadas, de manera que sean fácilmente verificables. De otra parte, el avance cualitativo no señala a qué actividades corresponde el avance del indicador, lo que podría facilitar el cotejo de evidencias. Tanto el avance cualitativo y los beneficios deberían estar mas relacionados con el desarrollo de las actividades puntuales en cada mes. Dado que se ha cumplido con el indicador no debería hacerse una declaración de dificultades en el avance. </v>
      </c>
      <c r="CS10" t="str">
        <f t="shared" si="13"/>
        <v>Fernando Escobar Mendoza</v>
      </c>
      <c r="CT10" t="str">
        <f t="shared" si="13"/>
        <v>Cumple</v>
      </c>
      <c r="CU10" t="str">
        <f t="shared" si="13"/>
        <v>Cumplido</v>
      </c>
      <c r="CV10" t="str">
        <f t="shared" si="13"/>
        <v>Adecuado</v>
      </c>
      <c r="CW10" t="str">
        <f t="shared" si="13"/>
        <v>Coherente</v>
      </c>
      <c r="CX10" t="str">
        <f t="shared" si="13"/>
        <v>Concuerda</v>
      </c>
      <c r="CY10" t="str">
        <f t="shared" si="13"/>
        <v>No aplica</v>
      </c>
      <c r="CZ10" t="str">
        <f t="shared" si="13"/>
        <v>No aplica</v>
      </c>
      <c r="DA10" t="str">
        <f t="shared" si="13"/>
        <v>Adecuado</v>
      </c>
      <c r="DB10" t="str">
        <f t="shared" si="13"/>
        <v>Oportuna</v>
      </c>
      <c r="DC10" t="str">
        <f t="shared" si="14"/>
        <v>Ninguna</v>
      </c>
      <c r="DD10" t="str">
        <f t="shared" si="14"/>
        <v>Fernando Escobar Mendoza</v>
      </c>
      <c r="DE10" t="e">
        <f t="shared" si="14"/>
        <v>#REF!</v>
      </c>
      <c r="DF10" t="e">
        <f t="shared" si="14"/>
        <v>#REF!</v>
      </c>
      <c r="DG10" t="e">
        <f t="shared" si="14"/>
        <v>#REF!</v>
      </c>
      <c r="DH10" t="e">
        <f t="shared" si="14"/>
        <v>#REF!</v>
      </c>
      <c r="DI10" t="e">
        <f t="shared" si="14"/>
        <v>#REF!</v>
      </c>
      <c r="DJ10" t="e">
        <f t="shared" si="14"/>
        <v>#REF!</v>
      </c>
      <c r="DK10" t="e">
        <f t="shared" si="14"/>
        <v>#REF!</v>
      </c>
      <c r="DL10" t="e">
        <f t="shared" si="14"/>
        <v>#REF!</v>
      </c>
      <c r="DM10" t="e">
        <f t="shared" si="15"/>
        <v>#REF!</v>
      </c>
      <c r="DN10" t="e">
        <f t="shared" si="15"/>
        <v>#REF!</v>
      </c>
      <c r="DO10" t="e">
        <f t="shared" si="15"/>
        <v>#REF!</v>
      </c>
      <c r="DP10" t="e">
        <f t="shared" si="15"/>
        <v>#REF!</v>
      </c>
      <c r="DQ10" t="e">
        <f t="shared" si="15"/>
        <v>#REF!</v>
      </c>
      <c r="DR10" t="e">
        <f t="shared" si="15"/>
        <v>#REF!</v>
      </c>
      <c r="DS10" t="e">
        <f t="shared" si="15"/>
        <v>#REF!</v>
      </c>
      <c r="DT10" t="e">
        <f t="shared" si="15"/>
        <v>#REF!</v>
      </c>
      <c r="DU10" t="e">
        <f t="shared" si="15"/>
        <v>#REF!</v>
      </c>
      <c r="DV10" t="e">
        <f t="shared" si="15"/>
        <v>#REF!</v>
      </c>
      <c r="DW10" t="e">
        <f t="shared" si="15"/>
        <v>#REF!</v>
      </c>
      <c r="DX10" t="e">
        <f t="shared" si="15"/>
        <v>#REF!</v>
      </c>
    </row>
    <row r="11" spans="1:129" x14ac:dyDescent="0.3">
      <c r="A11" s="423" t="str">
        <f t="shared" si="16"/>
        <v>06_PAAC</v>
      </c>
      <c r="B11" t="str">
        <f t="shared" si="17"/>
        <v>6_Oficina Asesora de Planeación</v>
      </c>
      <c r="C11">
        <f t="shared" si="8"/>
        <v>6</v>
      </c>
      <c r="D11" t="str">
        <f>+VLOOKUP($F11,bd,MATCH(D$5,bdfila,0),0)</f>
        <v>Oficina Asesora de Planeación</v>
      </c>
      <c r="E11" t="str">
        <f t="shared" si="1"/>
        <v>oap</v>
      </c>
      <c r="F11" s="208" t="str">
        <f>+PAAC!C15</f>
        <v>06_PAAC</v>
      </c>
      <c r="G11" t="str">
        <f t="shared" si="2"/>
        <v>Constante</v>
      </c>
      <c r="H11" t="str">
        <f t="shared" si="2"/>
        <v>Porcentaje</v>
      </c>
      <c r="I11" t="str">
        <f t="shared" si="2"/>
        <v>No Disponible / No Aplica</v>
      </c>
      <c r="J11" t="str">
        <f t="shared" si="2"/>
        <v>No Disponible / No Aplica</v>
      </c>
      <c r="K11" t="str">
        <f>+IFERROR(VLOOKUP($F11,PAAC_1,MATCH(K$5,PAAC!$C$9:$AA$9,0),0),"")</f>
        <v>Suma</v>
      </c>
      <c r="L11">
        <f>+IFERROR(VLOOKUP($F11,PAAC_1,MATCH(L$5,PAAC!$C$9:$AA$9,0),0),"")</f>
        <v>31</v>
      </c>
      <c r="M11">
        <f t="shared" si="9"/>
        <v>0</v>
      </c>
      <c r="N11">
        <f>+IFERROR(VLOOKUP($F11,PAAC_1,MATCH(N$5,PAAC!$C$9:$AA$9,0),0),"")</f>
        <v>0</v>
      </c>
      <c r="O11">
        <f>+IFERROR(VLOOKUP($F11,PAAC_1,MATCH(O$5,PAAC!$C$9:$AA$9,0),0),"")</f>
        <v>0</v>
      </c>
      <c r="P11">
        <f>+IFERROR(VLOOKUP($F11,PAAC_1,MATCH(P$5,PAAC!$C$9:$AA$9,0),0),"")</f>
        <v>0</v>
      </c>
      <c r="Q11">
        <f>+IFERROR(VLOOKUP($F11,PAAC_1,MATCH(Q$5,PAAC!$C$9:$AA$9,0),0),"")</f>
        <v>1</v>
      </c>
      <c r="R11">
        <f>+IFERROR(VLOOKUP($F11,PAAC_1,MATCH(R$5,PAAC!$C$9:$AA$9,0),0),"")</f>
        <v>0</v>
      </c>
      <c r="S11">
        <f>+IFERROR(VLOOKUP($F11,PAAC_1,MATCH(S$5,PAAC!$C$9:$AA$9,0),0),"")</f>
        <v>0</v>
      </c>
      <c r="T11">
        <f>+IFERROR(VLOOKUP($F11,PAAC_1,MATCH(T$5,PAAC!$C$9:$AA$9,0),0),"")</f>
        <v>100</v>
      </c>
      <c r="U11" t="str">
        <f>+IFERROR(VLOOKUP($F11,PAAC_1,MATCH(U$5,PAAC!$C$9:$AA$9,0),0),"")</f>
        <v>Este indicador mide el avance en la ejecución de las actividades programadas en la vigencia, para el Componente 6 del Plan Anticorrupción y Atención al Ciudadano en la Secretaria General de la Alcaldía Mayor de Bogotá D.C.</v>
      </c>
      <c r="V11" t="str">
        <f>+IFERROR(VLOOKUP($F11,PAAC_1,MATCH(V$5,PAAC!$C$9:$AA$9,0),0),"")</f>
        <v>Prestar apoyo técnico a las dependencias en lo relacionado con la formulación y el desarrollo de las actividades asociadas al componente 6 del Plan Anticorrupción y Atención al Ciudadano.
Hacer monitoreo y seguimiento a las dependencias responsables de la ejecución de las actividades programadas en el componenente 6 del Plan Anticorrupción y Atención al Ciudadano.</v>
      </c>
      <c r="W11" t="str">
        <f>+IFERROR(VLOOKUP($F11,PAAC_1,MATCH(W$5,PAAC!$C$9:$AA$9,0),0),"")</f>
        <v>Promocionar prácticas éticas en la gestión cotidiana que permitan fortalecer la cultura organizacional y generar cambios comportamentales en los Funcionarios y Contratistas de la Entidad, tendientes a la no tolerancia con la corrupción.</v>
      </c>
      <c r="X11" t="str">
        <f>+IFERROR(VLOOKUP($F11,PAAC_1,MATCH(X$5,PAAC!$C$9:$AA$9,0),0),"")</f>
        <v>Reportes de las dependencias</v>
      </c>
      <c r="Y11" t="str">
        <f>+IFERROR(IF(ISBLANK(VLOOKUP(CONCATENATE($F11,"_",Y$4),PAAC_2,MATCH(Y$3,PAAC!$E$19:$T$19,0),0)),"",VLOOKUP(CONCATENATE($F11,"_",Y$4),PAAC_2,MATCH(Y$3,PAAC!$E$19:$T$19,0),0)),"")</f>
        <v/>
      </c>
      <c r="Z11" t="str">
        <f>+IFERROR(IF(ISBLANK(VLOOKUP(CONCATENATE($F11,"_",Z$4),PAAC_2,MATCH(Z$3,PAAC!$E$19:$T$19,0),0)),"",VLOOKUP(CONCATENATE($F11,"_",Z$4),PAAC_2,MATCH(Z$3,PAAC!$E$19:$T$19,0),0)),"")</f>
        <v/>
      </c>
      <c r="AA11" t="str">
        <f>+IFERROR(IF(ISBLANK(VLOOKUP(CONCATENATE($F11,"_",AA$4),PAAC_2,MATCH(AA$3,PAAC!$E$19:$T$19,0),0)),"",VLOOKUP(CONCATENATE($F11,"_",AA$4),PAAC_2,MATCH(AA$3,PAAC!$E$19:$T$19,0),0)),"")</f>
        <v>No Aplica</v>
      </c>
      <c r="AB11" t="str">
        <f>+IFERROR(IF(ISBLANK(VLOOKUP(CONCATENATE($F11,"_",AB$4),PAAC_2,MATCH(AB$3,PAAC!$E$19:$T$19,0),0)),"",VLOOKUP(CONCATENATE($F11,"_",AB$4),PAAC_2,MATCH(AB$3,PAAC!$E$19:$T$19,0),0)),"")</f>
        <v>No Aplica</v>
      </c>
      <c r="AC11" t="str">
        <f>+IFERROR(IF(ISBLANK(VLOOKUP(CONCATENATE($F11,"_",AC$4),PAAC_2,MATCH(AC$3,PAAC!$E$19:$T$19,0),0)),"",VLOOKUP(CONCATENATE($F11,"_",AC$4),PAAC_2,MATCH(AC$3,PAAC!$E$19:$T$19,0),0)),"")</f>
        <v>No Aplica</v>
      </c>
      <c r="AD11" t="str">
        <f>+IFERROR(IF(ISBLANK(VLOOKUP(CONCATENATE($F11,"_",AD$4),PAAC_2,MATCH(AD$3,PAAC!$E$19:$T$19,0),0)),"",VLOOKUP(CONCATENATE($F11,"_",AD$4),PAAC_2,MATCH(AD$3,PAAC!$E$19:$T$19,0),0)),"")</f>
        <v/>
      </c>
      <c r="AE11" t="str">
        <f>+IFERROR(IF(ISBLANK(VLOOKUP(CONCATENATE($F11,"_",AE$4),PAAC_2,MATCH(AE$3,PAAC!$E$19:$T$19,0),0)),"",VLOOKUP(CONCATENATE($F11,"_",AE$4),PAAC_2,MATCH(AE$3,PAAC!$E$19:$T$19,0),0)),"")</f>
        <v/>
      </c>
      <c r="AF11" t="str">
        <f>+IFERROR(IF(ISBLANK(VLOOKUP(CONCATENATE($F11,"_",AF$4),PAAC_2,MATCH(AF$3,PAAC!$E$19:$T$19,0),0)),"",VLOOKUP(CONCATENATE($F11,"_",AF$4),PAAC_2,MATCH(AF$3,PAAC!$E$19:$T$19,0),0)),"")</f>
        <v>No Aplica</v>
      </c>
      <c r="AG11" t="str">
        <f>+IFERROR(IF(ISBLANK(VLOOKUP(CONCATENATE($F11,"_",AG$4),PAAC_2,MATCH(AG$3,PAAC!$E$19:$T$19,0),0)),"",VLOOKUP(CONCATENATE($F11,"_",AG$4),PAAC_2,MATCH(AG$3,PAAC!$E$19:$T$19,0),0)),"")</f>
        <v>No Aplica</v>
      </c>
      <c r="AH11" t="str">
        <f>+IFERROR(IF(ISBLANK(VLOOKUP(CONCATENATE($F11,"_",AH$4),PAAC_2,MATCH(AH$3,PAAC!$E$19:$T$19,0),0)),"",VLOOKUP(CONCATENATE($F11,"_",AH$4),PAAC_2,MATCH(AH$3,PAAC!$E$19:$T$19,0),0)),"")</f>
        <v>No Aplica</v>
      </c>
      <c r="AI11" t="str">
        <f>+IFERROR(IF(ISBLANK(VLOOKUP(CONCATENATE($F11,"_",AI$4),PAAC_2,MATCH(AI$3,PAAC!$E$19:$T$19,0),0)),"",VLOOKUP(CONCATENATE($F11,"_",AI$4),PAAC_2,MATCH(AI$3,PAAC!$E$19:$T$19,0),0)),"")</f>
        <v/>
      </c>
      <c r="AJ11" t="str">
        <f>+IFERROR(IF(ISBLANK(VLOOKUP(CONCATENATE($F11,"_",AJ$4),PAAC_2,MATCH(AJ$3,PAAC!$E$19:$T$19,0),0)),"",VLOOKUP(CONCATENATE($F11,"_",AJ$4),PAAC_2,MATCH(AJ$3,PAAC!$E$19:$T$19,0),0)),"")</f>
        <v/>
      </c>
      <c r="AK11" t="str">
        <f>+IFERROR(IF(ISBLANK(VLOOKUP(CONCATENATE($F11,"_",AK$4),PAAC_2,MATCH(AK$3,PAAC!$E$19:$T$19,0),0)),"",VLOOKUP(CONCATENATE($F11,"_",AK$4),PAAC_2,MATCH(AK$3,PAAC!$E$19:$T$19,0),0)),"")</f>
        <v>No Aplica</v>
      </c>
      <c r="AL11" t="str">
        <f>+IFERROR(IF(ISBLANK(VLOOKUP(CONCATENATE($F11,"_",AL$4),PAAC_2,MATCH(AL$3,PAAC!$E$19:$T$19,0),0)),"",VLOOKUP(CONCATENATE($F11,"_",AL$4),PAAC_2,MATCH(AL$3,PAAC!$E$19:$T$19,0),0)),"")</f>
        <v>No Aplica</v>
      </c>
      <c r="AM11" t="str">
        <f>+IFERROR(IF(ISBLANK(VLOOKUP(CONCATENATE($F11,"_",AM$4),PAAC_2,MATCH(AM$3,PAAC!$E$19:$T$19,0),0)),"",VLOOKUP(CONCATENATE($F11,"_",AM$4),PAAC_2,MATCH(AM$3,PAAC!$E$19:$T$19,0),0)),"")</f>
        <v>No Aplica</v>
      </c>
      <c r="AN11">
        <f>+IFERROR(IF(ISBLANK(VLOOKUP(CONCATENATE($F11,"_",AN$4),PAAC_2,MATCH(AN$3,PAAC!$E$19:$T$19,0),0)),"",VLOOKUP(CONCATENATE($F11,"_",AN$4),PAAC_2,MATCH(AN$3,PAAC!$E$19:$T$19,0),0)),"")</f>
        <v>1</v>
      </c>
      <c r="AO11">
        <f>+IFERROR(IF(ISBLANK(VLOOKUP(CONCATENATE($F11,"_",AO$4),PAAC_2,MATCH(AO$3,PAAC!$E$19:$T$19,0),0)),"",VLOOKUP(CONCATENATE($F11,"_",AO$4),PAAC_2,MATCH(AO$3,PAAC!$E$19:$T$19,0),0)),"")</f>
        <v>1</v>
      </c>
      <c r="AP11" t="str">
        <f>+IFERROR(IF(ISBLANK(VLOOKUP(CONCATENATE($F11,"_",AP$4),PAAC_2,MATCH(AP$3,PAAC!$E$19:$T$19,0),0)),"",VLOOKUP(CONCATENATE($F11,"_",AP$4),PAAC_2,MATCH(AP$3,PAAC!$E$19:$T$19,0),0)),"")</f>
        <v>Se sensibilizó al equipo directivo de la secretaría General para el fortalecimiento de la cultura ética de la entidad</v>
      </c>
      <c r="AQ11" t="str">
        <f>+IFERROR(IF(ISBLANK(VLOOKUP(CONCATENATE($F11,"_",AQ$4),PAAC_2,MATCH(AQ$3,PAAC!$E$19:$T$19,0),0)),"",VLOOKUP(CONCATENATE($F11,"_",AQ$4),PAAC_2,MATCH(AQ$3,PAAC!$E$19:$T$19,0),0)),"")</f>
        <v>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v>
      </c>
      <c r="AR11" t="str">
        <f>+IFERROR(IF(ISBLANK(VLOOKUP(CONCATENATE($F11,"_",AR$4),PAAC_2,MATCH(AR$3,PAAC!$E$19:$T$19,0),0)),"",VLOOKUP(CONCATENATE($F11,"_",AR$4),PAAC_2,MATCH(AR$3,PAAC!$E$19:$T$19,0),0)),"")</f>
        <v>Las actividades realizadas contribuyen a fortalecer los mecanismos que permitan la cultura ética y la integridad en  valores comportamientos y hábitos de los servidores públicos y contratsitas de la entidad</v>
      </c>
      <c r="AS11" t="str">
        <f>+IFERROR(IF(ISBLANK(VLOOKUP(CONCATENATE($F11,"_",AS$4),PAAC_2,MATCH(AS$3,PAAC!$E$19:$T$19,0),0)),"",VLOOKUP(CONCATENATE($F11,"_",AS$4),PAAC_2,MATCH(AS$3,PAAC!$E$19:$T$19,0),0)),"")</f>
        <v/>
      </c>
      <c r="AT11" t="str">
        <f>+IFERROR(IF(ISBLANK(VLOOKUP(CONCATENATE($F11,"_",AT$4),PAAC_2,MATCH(AT$3,PAAC!$E$19:$T$19,0),0)),"",VLOOKUP(CONCATENATE($F11,"_",AT$4),PAAC_2,MATCH(AT$3,PAAC!$E$19:$T$19,0),0)),"")</f>
        <v/>
      </c>
      <c r="AU11" t="str">
        <f>+IFERROR(IF(ISBLANK(VLOOKUP(CONCATENATE($F11,"_",AU$4),PAAC_2,MATCH(AU$3,PAAC!$E$19:$T$19,0),0)),"",VLOOKUP(CONCATENATE($F11,"_",AU$4),PAAC_2,MATCH(AU$3,PAAC!$E$19:$T$19,0),0)),"")</f>
        <v>No Aplica</v>
      </c>
      <c r="AV11" t="str">
        <f>+IFERROR(IF(ISBLANK(VLOOKUP(CONCATENATE($F11,"_",AV$4),PAAC_2,MATCH(AV$3,PAAC!$E$19:$T$19,0),0)),"",VLOOKUP(CONCATENATE($F11,"_",AV$4),PAAC_2,MATCH(AV$3,PAAC!$E$19:$T$19,0),0)),"")</f>
        <v>No Aplica</v>
      </c>
      <c r="AW11" t="str">
        <f>+IFERROR(IF(ISBLANK(VLOOKUP(CONCATENATE($F11,"_",AW$4),PAAC_2,MATCH(AW$3,PAAC!$E$19:$T$19,0),0)),"",VLOOKUP(CONCATENATE($F11,"_",AW$4),PAAC_2,MATCH(AW$3,PAAC!$E$19:$T$19,0),0)),"")</f>
        <v>No Aplica</v>
      </c>
      <c r="AX11">
        <f>+IFERROR(IF(ISBLANK(VLOOKUP(CONCATENATE($F11,"_",AX$4),PAAC_2,MATCH(AX$3,PAAC!$E$19:$T$19,0),0)),"",VLOOKUP(CONCATENATE($F11,"_",AX$4),PAAC_2,MATCH(AX$3,PAAC!$E$19:$T$19,0),0)),"")</f>
        <v>0</v>
      </c>
      <c r="AY11">
        <f>+IFERROR(IF(ISBLANK(VLOOKUP(CONCATENATE($F11,"_",AY$4),PAAC_2,MATCH(AY$3,PAAC!$E$19:$T$19,0),0)),"",VLOOKUP(CONCATENATE($F11,"_",AY$4),PAAC_2,MATCH(AY$3,PAAC!$E$19:$T$19,0),0)),"")</f>
        <v>0</v>
      </c>
      <c r="AZ11" t="str">
        <f>+IFERROR(IF(ISBLANK(VLOOKUP(CONCATENATE($F11,"_",AZ$4),PAAC_2,MATCH(AZ$3,PAAC!$E$19:$T$19,0),0)),"",VLOOKUP(CONCATENATE($F11,"_",AZ$4),PAAC_2,MATCH(AZ$3,PAAC!$E$19:$T$19,0),0)),"")</f>
        <v>No Aplica</v>
      </c>
      <c r="BA11" t="str">
        <f>+IFERROR(IF(ISBLANK(VLOOKUP(CONCATENATE($F11,"_",BA$4),PAAC_2,MATCH(BA$3,PAAC!$E$19:$T$19,0),0)),"",VLOOKUP(CONCATENATE($F11,"_",BA$4),PAAC_2,MATCH(BA$3,PAAC!$E$19:$T$19,0),0)),"")</f>
        <v>No Aplica</v>
      </c>
      <c r="BB11" t="str">
        <f>+IFERROR(IF(ISBLANK(VLOOKUP(CONCATENATE($F11,"_",BB$4),PAAC_2,MATCH(BB$3,PAAC!$E$19:$T$19,0),0)),"",VLOOKUP(CONCATENATE($F11,"_",BB$4),PAAC_2,MATCH(BB$3,PAAC!$E$19:$T$19,0),0)),"")</f>
        <v>No Aplica</v>
      </c>
      <c r="BC11">
        <f t="shared" si="10"/>
        <v>1</v>
      </c>
      <c r="BD11">
        <f t="shared" si="10"/>
        <v>1</v>
      </c>
      <c r="BE11" s="129" t="str">
        <f>+IFERROR(IF(ISBLANK(VLOOKUP(CONCATENATE($F11,"_",BE$4),P1090_4,MATCH(BE$3,PAAC!$E$19:$M$19,0),0)),"",VLOOKUP(CONCATENATE($F11,"_",BE$4),P1090_4,MATCH(BE$3,PAAC!$E$19:$M$19,0),0)),"")</f>
        <v/>
      </c>
      <c r="BF11" s="129" t="str">
        <f>+IFERROR(IF(ISBLANK(VLOOKUP(CONCATENATE($F11,"_",BF$4),P1090_4,MATCH(BF$3,PAAC!$E$19:$M$19,0),0)),"",VLOOKUP(CONCATENATE($F11,"_",BF$4),P1090_4,MATCH(BF$3,PAAC!$E$19:$M$19,0),0)),"")</f>
        <v/>
      </c>
      <c r="BG11" s="129" t="str">
        <f>+IFERROR(IF(ISBLANK(VLOOKUP(CONCATENATE($F11,"_",BG$4),P1090_4,MATCH(BG$3,PAAC!$E$19:$M$19,0),0)),"",VLOOKUP(CONCATENATE($F11,"_",BG$4),P1090_4,MATCH(BG$3,PAAC!$E$19:$M$19,0),0)),"")</f>
        <v/>
      </c>
      <c r="BH11" s="129" t="str">
        <f>+IFERROR(IF(ISBLANK(VLOOKUP(CONCATENATE($F11,"_",BH$4),P1090_4,MATCH(BH$3,PAAC!$E$19:$M$19,0),0)),"",VLOOKUP(CONCATENATE($F11,"_",BH$4),P1090_4,MATCH(BH$3,PAAC!$E$19:$M$19,0),0)),"")</f>
        <v/>
      </c>
      <c r="BI11" s="129" t="str">
        <f>+IFERROR(IF(ISBLANK(VLOOKUP(CONCATENATE($F11,"_",BI$4),P1090_4,MATCH(BI$3,PAAC!$E$19:$M$19,0),0)),"",VLOOKUP(CONCATENATE($F11,"_",BI$4),P1090_4,MATCH(BI$3,PAAC!$E$19:$M$19,0),0)),"")</f>
        <v/>
      </c>
      <c r="BJ11" s="129" t="str">
        <f>+IFERROR(IF(ISBLANK(VLOOKUP(CONCATENATE($F11,"_",BJ$4),P1090_4,MATCH(BJ$3,PAAC!$E$19:$M$19,0),0)),"",VLOOKUP(CONCATENATE($F11,"_",BJ$4),P1090_4,MATCH(BJ$3,PAAC!$E$19:$M$19,0),0)),"")</f>
        <v/>
      </c>
      <c r="BK11" s="129" t="str">
        <f>+IFERROR(IF(ISBLANK(VLOOKUP(CONCATENATE($F11,"_",BK$4),P1090_4,MATCH(BK$3,PAAC!$E$19:$M$19,0),0)),"",VLOOKUP(CONCATENATE($F11,"_",BK$4),P1090_4,MATCH(BK$3,PAAC!$E$19:$M$19,0),0)),"")</f>
        <v/>
      </c>
      <c r="BL11" s="129" t="str">
        <f>+IFERROR(IF(ISBLANK(VLOOKUP(CONCATENATE($F11,"_",BL$4),P1090_4,MATCH(BL$3,PAAC!$E$19:$M$19,0),0)),"",VLOOKUP(CONCATENATE($F11,"_",BL$4),P1090_4,MATCH(BL$3,PAAC!$E$19:$M$19,0),0)),"")</f>
        <v/>
      </c>
      <c r="BM11" s="129" t="str">
        <f>+IFERROR(IF(ISBLANK(VLOOKUP(CONCATENATE($F11,"_",BM$4),P1090_4,MATCH(BM$3,PAAC!$E$19:$M$19,0),0)),"",VLOOKUP(CONCATENATE($F11,"_",BM$4),P1090_4,MATCH(BM$3,PAAC!$E$19:$M$19,0),0)),"")</f>
        <v/>
      </c>
      <c r="BN11" s="129" t="str">
        <f>+IFERROR(IF(ISBLANK(VLOOKUP(CONCATENATE($F11,"_",BN$4),P1090_4,MATCH(BN$3,PAAC!$E$19:$M$19,0),0)),"",VLOOKUP(CONCATENATE($F11,"_",BN$4),P1090_4,MATCH(BN$3,PAAC!$E$19:$M$19,0),0)),"")</f>
        <v/>
      </c>
      <c r="BO11" s="129" t="str">
        <f>+IFERROR(IF(ISBLANK(VLOOKUP(CONCATENATE($F11,"_",BO$4),P1090_4,MATCH(BO$3,PAAC!$E$19:$M$19,0),0)),"",VLOOKUP(CONCATENATE($F11,"_",BO$4),P1090_4,MATCH(BO$3,PAAC!$E$19:$M$19,0),0)),"")</f>
        <v/>
      </c>
      <c r="BP11" s="129" t="str">
        <f>+IFERROR(IF(ISBLANK(VLOOKUP(CONCATENATE($F11,"_",BP$4),P1090_4,MATCH(BP$3,PAAC!$E$19:$M$19,0),0)),"",VLOOKUP(CONCATENATE($F11,"_",BP$4),P1090_4,MATCH(BP$3,PAAC!$E$19:$M$19,0),0)),"")</f>
        <v/>
      </c>
      <c r="BQ11" s="129" t="str">
        <f>+IFERROR(IF(ISBLANK(VLOOKUP(CONCATENATE($F11,"_",BQ$4),P1090_4,MATCH(BQ$3,PAAC!$E$19:$M$19,0),0)),"",VLOOKUP(CONCATENATE($F11,"_",BQ$4),P1090_4,MATCH(BQ$3,PAAC!$E$19:$M$19,0),0)),"")</f>
        <v/>
      </c>
      <c r="BR11" s="129" t="str">
        <f>+IFERROR(IF(ISBLANK(VLOOKUP(CONCATENATE($F11,"_",BR$4),P1090_4,MATCH(BR$3,PAAC!$E$19:$M$19,0),0)),"",VLOOKUP(CONCATENATE($F11,"_",BR$4),P1090_4,MATCH(BR$3,PAAC!$E$19:$M$19,0),0)),"")</f>
        <v/>
      </c>
      <c r="BS11" s="129" t="str">
        <f>+IFERROR(IF(ISBLANK(VLOOKUP(CONCATENATE($F11,"_",BS$4),P1090_4,MATCH(BS$3,PAAC!$E$19:$M$19,0),0)),"",VLOOKUP(CONCATENATE($F11,"_",BS$4),P1090_4,MATCH(BS$3,PAAC!$E$19:$M$19,0),0)),"")</f>
        <v/>
      </c>
      <c r="BT11" s="129" t="str">
        <f>+IFERROR(IF(ISBLANK(VLOOKUP(CONCATENATE($F11,"_",BT$4),P1090_4,MATCH(BT$3,PAAC!$E$19:$M$19,0),0)),"",VLOOKUP(CONCATENATE($F11,"_",BT$4),P1090_4,MATCH(BT$3,PAAC!$E$19:$M$19,0),0)),"")</f>
        <v/>
      </c>
      <c r="BU11" s="129" t="str">
        <f>+IFERROR(IF(ISBLANK(VLOOKUP(CONCATENATE($F11,"_",BU$4),P1090_4,MATCH(BU$3,PAAC!$E$19:$M$19,0),0)),"",VLOOKUP(CONCATENATE($F11,"_",BU$4),P1090_4,MATCH(BU$3,PAAC!$E$19:$M$19,0),0)),"")</f>
        <v/>
      </c>
      <c r="BV11" s="129" t="str">
        <f>+IFERROR(IF(ISBLANK(VLOOKUP(CONCATENATE($F11,"_",BV$4),P1090_4,MATCH(BV$3,PAAC!$E$19:$M$19,0),0)),"",VLOOKUP(CONCATENATE($F11,"_",BV$4),P1090_4,MATCH(BV$3,PAAC!$E$19:$M$19,0),0)),"")</f>
        <v/>
      </c>
      <c r="BW11" s="129" t="str">
        <f>+IFERROR(IF(ISBLANK(VLOOKUP(CONCATENATE($F11,"_",BW$4),P1090_4,MATCH(BW$3,PAAC!$E$19:$M$19,0),0)),"",VLOOKUP(CONCATENATE($F11,"_",BW$4),P1090_4,MATCH(BW$3,PAAC!$E$19:$M$19,0),0)),"")</f>
        <v/>
      </c>
      <c r="BX11" s="129" t="str">
        <f>+IFERROR(IF(ISBLANK(VLOOKUP(CONCATENATE($F11,"_",BX$4),P1090_4,MATCH(BX$3,PAAC!$E$19:$M$19,0),0)),"",VLOOKUP(CONCATENATE($F11,"_",BX$4),P1090_4,MATCH(BX$3,PAAC!$E$19:$M$19,0),0)),"")</f>
        <v/>
      </c>
      <c r="BY11" s="129" t="str">
        <f>+IFERROR(IF(ISBLANK(VLOOKUP(CONCATENATE($F11,"_",BY$4),P1090_4,MATCH(BY$3,PAAC!$E$19:$M$19,0),0)),"",VLOOKUP(CONCATENATE($F11,"_",BY$4),P1090_4,MATCH(BY$3,PAAC!$E$19:$M$19,0),0)),"")</f>
        <v/>
      </c>
      <c r="BZ11" s="129" t="str">
        <f>+IFERROR(IF(ISBLANK(VLOOKUP(CONCATENATE($F11,"_",BZ$4),P1090_4,MATCH(BZ$3,PAAC!$E$19:$M$19,0),0)),"",VLOOKUP(CONCATENATE($F11,"_",BZ$4),P1090_4,MATCH(BZ$3,PAAC!$E$19:$M$19,0),0)),"")</f>
        <v/>
      </c>
      <c r="CA11" s="129" t="str">
        <f>+IFERROR(IF(ISBLANK(VLOOKUP(CONCATENATE($F11,"_",CA$4),P1090_4,MATCH(CA$3,PAAC!$E$19:$M$19,0),0)),"",VLOOKUP(CONCATENATE($F11,"_",CA$4),P1090_4,MATCH(CA$3,PAAC!$E$19:$M$19,0),0)),"")</f>
        <v/>
      </c>
      <c r="CB11" s="129" t="str">
        <f>+IFERROR(IF(ISBLANK(VLOOKUP(CONCATENATE($F11,"_",CB$4),P1090_4,MATCH(CB$3,PAAC!$E$19:$M$19,0),0)),"",VLOOKUP(CONCATENATE($F11,"_",CB$4),P1090_4,MATCH(CB$3,PAAC!$E$19:$M$19,0),0)),"")</f>
        <v/>
      </c>
      <c r="CC11" s="129" t="str">
        <f>+IFERROR(IF(ISBLANK(VLOOKUP(CONCATENATE($F11,"_",CC$4),P1090_4,MATCH(CC$3,PAAC!$E$19:$M$19,0),0)),"",VLOOKUP(CONCATENATE($F11,"_",CC$4),P1090_4,MATCH(CC$3,PAAC!$E$19:$M$19,0),0)),"")</f>
        <v/>
      </c>
      <c r="CD11" s="129" t="str">
        <f t="shared" si="11"/>
        <v/>
      </c>
      <c r="CE11" s="129" t="str">
        <f t="shared" si="3"/>
        <v/>
      </c>
      <c r="CF11" s="129" t="str">
        <f t="shared" si="4"/>
        <v/>
      </c>
      <c r="CG11" s="129" t="str">
        <f t="shared" si="5"/>
        <v/>
      </c>
      <c r="CH11" s="129" t="str">
        <f t="shared" si="6"/>
        <v/>
      </c>
      <c r="CI11" t="str">
        <f t="shared" si="12"/>
        <v>Cumple</v>
      </c>
      <c r="CJ11" t="str">
        <f t="shared" si="12"/>
        <v>Cumplido</v>
      </c>
      <c r="CK11" t="str">
        <f t="shared" si="12"/>
        <v>Adecuado</v>
      </c>
      <c r="CL11" t="str">
        <f t="shared" si="12"/>
        <v>Coherente</v>
      </c>
      <c r="CM11" t="str">
        <f t="shared" si="12"/>
        <v>Concuerda</v>
      </c>
      <c r="CN11" t="str">
        <f t="shared" si="12"/>
        <v>Indeterminado</v>
      </c>
      <c r="CO11" t="str">
        <f t="shared" si="12"/>
        <v>No aplica</v>
      </c>
      <c r="CP11" t="str">
        <f t="shared" si="12"/>
        <v>Adecuado</v>
      </c>
      <c r="CQ11" t="str">
        <f t="shared" si="12"/>
        <v>Oportuna</v>
      </c>
      <c r="CR11" t="str">
        <f t="shared" si="12"/>
        <v xml:space="preserve">El reporte de las evidencias debería guardar correspondencia con el número de las actividades ejecutadas, de manera que sean fácilmente verificables. Para el mes de abril se reporta 1 actividad realizada de 1 programada y en una carpeta de evidencias que contiene 4 archivos. Dado que se ha cumplido con el indicador no debería hacerse una declaración de dificultades en el avance. </v>
      </c>
      <c r="CS11" t="str">
        <f t="shared" si="13"/>
        <v>Fernando Escobar Mendoza</v>
      </c>
      <c r="CT11" t="str">
        <f t="shared" si="13"/>
        <v>No aplica</v>
      </c>
      <c r="CU11" t="str">
        <f t="shared" si="13"/>
        <v>No programó</v>
      </c>
      <c r="CV11" t="str">
        <f t="shared" si="13"/>
        <v>No aplica</v>
      </c>
      <c r="CW11" t="str">
        <f t="shared" si="13"/>
        <v>No aplica</v>
      </c>
      <c r="CX11" t="str">
        <f t="shared" si="13"/>
        <v>No aplica</v>
      </c>
      <c r="CY11" t="str">
        <f t="shared" si="13"/>
        <v>No aplica</v>
      </c>
      <c r="CZ11" t="str">
        <f t="shared" si="13"/>
        <v>No aplica</v>
      </c>
      <c r="DA11" t="str">
        <f t="shared" si="13"/>
        <v>No aplica</v>
      </c>
      <c r="DB11" t="str">
        <f t="shared" si="13"/>
        <v>Oportuna</v>
      </c>
      <c r="DC11" t="str">
        <f t="shared" si="14"/>
        <v>Niniguna</v>
      </c>
      <c r="DD11" t="str">
        <f t="shared" si="14"/>
        <v>Fernando Escobar Mendoza</v>
      </c>
      <c r="DE11" t="e">
        <f t="shared" si="14"/>
        <v>#REF!</v>
      </c>
      <c r="DF11" t="e">
        <f t="shared" si="14"/>
        <v>#REF!</v>
      </c>
      <c r="DG11" t="e">
        <f t="shared" si="14"/>
        <v>#REF!</v>
      </c>
      <c r="DH11" t="e">
        <f t="shared" si="14"/>
        <v>#REF!</v>
      </c>
      <c r="DI11" t="e">
        <f t="shared" si="14"/>
        <v>#REF!</v>
      </c>
      <c r="DJ11" t="e">
        <f t="shared" si="14"/>
        <v>#REF!</v>
      </c>
      <c r="DK11" t="e">
        <f t="shared" si="14"/>
        <v>#REF!</v>
      </c>
      <c r="DL11" t="e">
        <f t="shared" si="14"/>
        <v>#REF!</v>
      </c>
      <c r="DM11" t="e">
        <f t="shared" si="15"/>
        <v>#REF!</v>
      </c>
      <c r="DN11" t="e">
        <f t="shared" si="15"/>
        <v>#REF!</v>
      </c>
      <c r="DO11" t="e">
        <f t="shared" si="15"/>
        <v>#REF!</v>
      </c>
      <c r="DP11" t="e">
        <f t="shared" si="15"/>
        <v>#REF!</v>
      </c>
      <c r="DQ11" t="e">
        <f t="shared" si="15"/>
        <v>#REF!</v>
      </c>
      <c r="DR11" t="e">
        <f t="shared" si="15"/>
        <v>#REF!</v>
      </c>
      <c r="DS11" t="e">
        <f t="shared" si="15"/>
        <v>#REF!</v>
      </c>
      <c r="DT11" t="e">
        <f t="shared" si="15"/>
        <v>#REF!</v>
      </c>
      <c r="DU11" t="e">
        <f t="shared" si="15"/>
        <v>#REF!</v>
      </c>
      <c r="DV11" t="e">
        <f t="shared" si="15"/>
        <v>#REF!</v>
      </c>
      <c r="DW11" t="e">
        <f t="shared" si="15"/>
        <v>#REF!</v>
      </c>
      <c r="DX11" t="e">
        <f t="shared" si="15"/>
        <v>#REF!</v>
      </c>
    </row>
    <row r="12" spans="1:129" x14ac:dyDescent="0.3">
      <c r="A12" s="423" t="str">
        <f t="shared" si="16"/>
        <v>150 (SS)</v>
      </c>
      <c r="B12" t="str">
        <f t="shared" si="17"/>
        <v>7_Oficina Asesora de Planeación</v>
      </c>
      <c r="C12">
        <f t="shared" si="8"/>
        <v>7</v>
      </c>
      <c r="D12" t="str">
        <f t="shared" si="0"/>
        <v>Oficina Asesora de Planeación</v>
      </c>
      <c r="E12" t="str">
        <f t="shared" si="1"/>
        <v>oap</v>
      </c>
      <c r="F12" s="208" t="str">
        <f>Oficinas!D10</f>
        <v>150 (SS)</v>
      </c>
      <c r="G12" t="str">
        <f t="shared" si="2"/>
        <v>Constante</v>
      </c>
      <c r="H12" t="str">
        <f t="shared" si="2"/>
        <v>Número</v>
      </c>
      <c r="I12">
        <f t="shared" si="2"/>
        <v>1</v>
      </c>
      <c r="J12">
        <f t="shared" si="2"/>
        <v>1</v>
      </c>
      <c r="K12" t="str">
        <f>+IFERROR(VLOOKUP($F12,Oficinas_1,MATCH(K$5,Oficinas!$D$9:$V$9,0),0),"")</f>
        <v>Suma</v>
      </c>
      <c r="L12">
        <f>+IFERROR(VLOOKUP($F12,Oficinas_1,MATCH(L$5,Oficinas!$D$9:$V$9,0),0),"")</f>
        <v>0</v>
      </c>
      <c r="M12">
        <f t="shared" si="9"/>
        <v>0</v>
      </c>
      <c r="N12">
        <f>+IFERROR(VLOOKUP($F12,Oficinas_1,MATCH(N$5,Oficinas!$D$9:$V$9,0),0),"")</f>
        <v>0</v>
      </c>
      <c r="O12">
        <f>+IFERROR(VLOOKUP($F12,Oficinas_1,MATCH(O$5,Oficinas!$D$9:$V$9,0),0),"")</f>
        <v>0</v>
      </c>
      <c r="P12">
        <f>+IFERROR(VLOOKUP($F12,Oficinas_1,MATCH(P$5,Oficinas!$D$9:$V$9,0),0),"")</f>
        <v>0</v>
      </c>
      <c r="Q12">
        <f>+IFERROR(VLOOKUP($F12,Oficinas_1,MATCH(Q$5,Oficinas!$D$9:$V$9,0),0),"")</f>
        <v>0</v>
      </c>
      <c r="R12">
        <f>+IFERROR(VLOOKUP($F12,Oficinas_1,MATCH(R$5,Oficinas!$D$9:$V$9,0),0),"")</f>
        <v>0</v>
      </c>
      <c r="S12">
        <f>+IFERROR(VLOOKUP($F12,Oficinas_1,MATCH(S$5,Oficinas!$D$9:$V$9,0),0),"")</f>
        <v>0</v>
      </c>
      <c r="T12">
        <f>+IFERROR(VLOOKUP($F12,Oficinas_1,MATCH(T$5,Oficinas!$D$9:$V$9,0),0),"")</f>
        <v>1</v>
      </c>
      <c r="U12" t="str">
        <f>+IFERROR(VLOOKUP($F12,Oficinas_1,MATCH(U$5,Oficinas!$D$9:$V$9,0),0),"")</f>
        <v>Mide el avance de la presentación ante las entidades distritales del Libro del Anteproyecto de Presupuesto para la Vigencia 2020.</v>
      </c>
      <c r="V12" t="str">
        <f>+IFERROR(VLOOKUP($F12,Oficinas_1,MATCH(V$5,Oficinas!$D$9:$V$9,0),0),"")</f>
        <v>Desarrollo de anteproyecto de presupuesto</v>
      </c>
      <c r="W12" t="str">
        <f>+IFERROR(VLOOKUP($F12,Oficinas_1,MATCH(W$5,Oficinas!$D$9:$V$9,0),0),"")</f>
        <v>Programación para una eficiente ejecución de los recursos de la entidad</v>
      </c>
      <c r="X12" t="str">
        <f>+IFERROR(VLOOKUP($F12,Oficinas_1,MATCH(X$5,Oficinas!$D$9:$V$9,0),0),"")</f>
        <v>Presentación del Libro de Anteproyecto de Presupuesto Vigencia 2020.</v>
      </c>
      <c r="Y12" t="str">
        <f>+IFERROR(IF(ISBLANK(VLOOKUP(CONCATENATE($F12,"_",Y$4),Oficinas_2,MATCH(Y$3,Oficinas!$F$26:$O$26,0),0)),"",VLOOKUP(CONCATENATE($F12,"_",Y$4),Oficinas_2,MATCH(Y$3,Oficinas!$F$26:$O$26,0),0)),"")</f>
        <v/>
      </c>
      <c r="Z12" t="str">
        <f>+IFERROR(IF(ISBLANK(VLOOKUP(CONCATENATE($F12,"_",Z$4),Oficinas_2,MATCH(Z$3,Oficinas!$F$26:$O$26,0),0)),"",VLOOKUP(CONCATENATE($F12,"_",Z$4),Oficinas_2,MATCH(Z$3,Oficinas!$F$26:$O$26,0),0)),"")</f>
        <v/>
      </c>
      <c r="AA12" t="str">
        <f>+IFERROR(IF(ISBLANK(VLOOKUP(CONCATENATE($F12,"_",AA$4),Oficinas_2,MATCH(AA$3,Oficinas!$F$26:$O$26,0),0)),"",VLOOKUP(CONCATENATE($F12,"_",AA$4),Oficinas_2,MATCH(AA$3,Oficinas!$F$26:$O$26,0),0)),"")</f>
        <v/>
      </c>
      <c r="AB12" t="str">
        <f>+IFERROR(IF(ISBLANK(VLOOKUP(CONCATENATE($F12,"_",AB$4),Oficinas_2,MATCH(AB$3,Oficinas!$F$26:$O$26,0),0)),"",VLOOKUP(CONCATENATE($F12,"_",AB$4),Oficinas_2,MATCH(AB$3,Oficinas!$F$26:$O$26,0),0)),"")</f>
        <v/>
      </c>
      <c r="AC12" t="str">
        <f>+IFERROR(IF(ISBLANK(VLOOKUP(CONCATENATE($F12,"_",AC$4),Oficinas_2,MATCH(AC$3,Oficinas!$F$26:$O$26,0),0)),"",VLOOKUP(CONCATENATE($F12,"_",AC$4),Oficinas_2,MATCH(AC$3,Oficinas!$F$26:$O$26,0),0)),"")</f>
        <v/>
      </c>
      <c r="AD12" t="str">
        <f>+IFERROR(IF(ISBLANK(VLOOKUP(CONCATENATE($F12,"_",AD$4),Oficinas_2,MATCH(AD$3,Oficinas!$F$26:$O$26,0),0)),"",VLOOKUP(CONCATENATE($F12,"_",AD$4),Oficinas_2,MATCH(AD$3,Oficinas!$F$26:$O$26,0),0)),"")</f>
        <v/>
      </c>
      <c r="AE12" t="str">
        <f>+IFERROR(IF(ISBLANK(VLOOKUP(CONCATENATE($F12,"_",AE$4),Oficinas_2,MATCH(AE$3,Oficinas!$F$26:$O$26,0),0)),"",VLOOKUP(CONCATENATE($F12,"_",AE$4),Oficinas_2,MATCH(AE$3,Oficinas!$F$26:$O$26,0),0)),"")</f>
        <v/>
      </c>
      <c r="AF12" t="str">
        <f>+IFERROR(IF(ISBLANK(VLOOKUP(CONCATENATE($F12,"_",AF$4),Oficinas_2,MATCH(AF$3,Oficinas!$F$26:$O$26,0),0)),"",VLOOKUP(CONCATENATE($F12,"_",AF$4),Oficinas_2,MATCH(AF$3,Oficinas!$F$26:$O$26,0),0)),"")</f>
        <v/>
      </c>
      <c r="AG12" t="str">
        <f>+IFERROR(IF(ISBLANK(VLOOKUP(CONCATENATE($F12,"_",AG$4),Oficinas_2,MATCH(AG$3,Oficinas!$F$26:$O$26,0),0)),"",VLOOKUP(CONCATENATE($F12,"_",AG$4),Oficinas_2,MATCH(AG$3,Oficinas!$F$26:$O$26,0),0)),"")</f>
        <v/>
      </c>
      <c r="AH12" t="str">
        <f>+IFERROR(IF(ISBLANK(VLOOKUP(CONCATENATE($F12,"_",AH$4),Oficinas_2,MATCH(AH$3,Oficinas!$F$26:$O$26,0),0)),"",VLOOKUP(CONCATENATE($F12,"_",AH$4),Oficinas_2,MATCH(AH$3,Oficinas!$F$26:$O$26,0),0)),"")</f>
        <v/>
      </c>
      <c r="AI12" t="str">
        <f>+IFERROR(IF(ISBLANK(VLOOKUP(CONCATENATE($F12,"_",AI$4),Oficinas_2,MATCH(AI$3,Oficinas!$F$26:$O$26,0),0)),"",VLOOKUP(CONCATENATE($F12,"_",AI$4),Oficinas_2,MATCH(AI$3,Oficinas!$F$26:$O$26,0),0)),"")</f>
        <v/>
      </c>
      <c r="AJ12" t="str">
        <f>+IFERROR(IF(ISBLANK(VLOOKUP(CONCATENATE($F12,"_",AJ$4),Oficinas_2,MATCH(AJ$3,Oficinas!$F$26:$O$26,0),0)),"",VLOOKUP(CONCATENATE($F12,"_",AJ$4),Oficinas_2,MATCH(AJ$3,Oficinas!$F$26:$O$26,0),0)),"")</f>
        <v/>
      </c>
      <c r="AK12" t="str">
        <f>+IFERROR(IF(ISBLANK(VLOOKUP(CONCATENATE($F12,"_",AK$4),Oficinas_2,MATCH(AK$3,Oficinas!$F$26:$O$26,0),0)),"",VLOOKUP(CONCATENATE($F12,"_",AK$4),Oficinas_2,MATCH(AK$3,Oficinas!$F$26:$O$26,0),0)),"")</f>
        <v/>
      </c>
      <c r="AL12" t="str">
        <f>+IFERROR(IF(ISBLANK(VLOOKUP(CONCATENATE($F12,"_",AL$4),Oficinas_2,MATCH(AL$3,Oficinas!$F$26:$O$26,0),0)),"",VLOOKUP(CONCATENATE($F12,"_",AL$4),Oficinas_2,MATCH(AL$3,Oficinas!$F$26:$O$26,0),0)),"")</f>
        <v/>
      </c>
      <c r="AM12" t="str">
        <f>+IFERROR(IF(ISBLANK(VLOOKUP(CONCATENATE($F12,"_",AM$4),Oficinas_2,MATCH(AM$3,Oficinas!$F$26:$O$26,0),0)),"",VLOOKUP(CONCATENATE($F12,"_",AM$4),Oficinas_2,MATCH(AM$3,Oficinas!$F$26:$O$26,0),0)),"")</f>
        <v/>
      </c>
      <c r="AN12" t="str">
        <f>+IFERROR(IF(ISBLANK(VLOOKUP(CONCATENATE($F12,"_",AN$4),Oficinas_2,MATCH(AN$3,Oficinas!$F$26:$O$26,0),0)),"",VLOOKUP(CONCATENATE($F12,"_",AN$4),Oficinas_2,MATCH(AN$3,Oficinas!$F$26:$O$26,0),0)),"")</f>
        <v/>
      </c>
      <c r="AO12" t="str">
        <f>+IFERROR(IF(ISBLANK(VLOOKUP(CONCATENATE($F12,"_",AO$4),Oficinas_2,MATCH(AO$3,Oficinas!$F$26:$O$26,0),0)),"",VLOOKUP(CONCATENATE($F12,"_",AO$4),Oficinas_2,MATCH(AO$3,Oficinas!$F$26:$O$26,0),0)),"")</f>
        <v/>
      </c>
      <c r="AP12" t="str">
        <f>+IFERROR(IF(ISBLANK(VLOOKUP(CONCATENATE($F12,"_",AP$4),Oficinas_2,MATCH(AP$3,Oficinas!$F$26:$O$26,0),0)),"",VLOOKUP(CONCATENATE($F12,"_",AP$4),Oficinas_2,MATCH(AP$3,Oficinas!$F$26:$O$26,0),0)),"")</f>
        <v/>
      </c>
      <c r="AQ12" t="str">
        <f>+IFERROR(IF(ISBLANK(VLOOKUP(CONCATENATE($F12,"_",AQ$4),Oficinas_2,MATCH(AQ$3,Oficinas!$F$26:$O$26,0),0)),"",VLOOKUP(CONCATENATE($F12,"_",AQ$4),Oficinas_2,MATCH(AQ$3,Oficinas!$F$26:$O$26,0),0)),"")</f>
        <v/>
      </c>
      <c r="AR12" t="str">
        <f>+IFERROR(IF(ISBLANK(VLOOKUP(CONCATENATE($F12,"_",AR$4),Oficinas_2,MATCH(AR$3,Oficinas!$F$26:$O$26,0),0)),"",VLOOKUP(CONCATENATE($F12,"_",AR$4),Oficinas_2,MATCH(AR$3,Oficinas!$F$26:$O$26,0),0)),"")</f>
        <v/>
      </c>
      <c r="AS12" t="str">
        <f>+IFERROR(IF(ISBLANK(VLOOKUP(CONCATENATE($F12,"_",AS$4),Oficinas_2,MATCH(AS$3,Oficinas!$F$26:$O$26,0),0)),"",VLOOKUP(CONCATENATE($F12,"_",AS$4),Oficinas_2,MATCH(AS$3,Oficinas!$F$26:$O$26,0),0)),"")</f>
        <v/>
      </c>
      <c r="AT12" t="str">
        <f>+IFERROR(IF(ISBLANK(VLOOKUP(CONCATENATE($F12,"_",AT$4),Oficinas_2,MATCH(AT$3,Oficinas!$F$26:$O$26,0),0)),"",VLOOKUP(CONCATENATE($F12,"_",AT$4),Oficinas_2,MATCH(AT$3,Oficinas!$F$26:$O$26,0),0)),"")</f>
        <v/>
      </c>
      <c r="AU12" t="str">
        <f>+IFERROR(IF(ISBLANK(VLOOKUP(CONCATENATE($F12,"_",AU$4),Oficinas_2,MATCH(AU$3,Oficinas!$F$26:$O$26,0),0)),"",VLOOKUP(CONCATENATE($F12,"_",AU$4),Oficinas_2,MATCH(AU$3,Oficinas!$F$26:$O$26,0),0)),"")</f>
        <v/>
      </c>
      <c r="AV12" t="str">
        <f>+IFERROR(IF(ISBLANK(VLOOKUP(CONCATENATE($F12,"_",AV$4),Oficinas_2,MATCH(AV$3,Oficinas!$F$26:$O$26,0),0)),"",VLOOKUP(CONCATENATE($F12,"_",AV$4),Oficinas_2,MATCH(AV$3,Oficinas!$F$26:$O$26,0),0)),"")</f>
        <v/>
      </c>
      <c r="AW12" t="str">
        <f>+IFERROR(IF(ISBLANK(VLOOKUP(CONCATENATE($F12,"_",AW$4),Oficinas_2,MATCH(AW$3,Oficinas!$F$26:$O$26,0),0)),"",VLOOKUP(CONCATENATE($F12,"_",AW$4),Oficinas_2,MATCH(AW$3,Oficinas!$F$26:$O$26,0),0)),"")</f>
        <v/>
      </c>
      <c r="AX12" t="str">
        <f>+IFERROR(IF(ISBLANK(VLOOKUP(CONCATENATE($F12,"_",AX$4),Oficinas_2,MATCH(AX$3,Oficinas!$F$26:$O$26,0),0)),"",VLOOKUP(CONCATENATE($F12,"_",AX$4),Oficinas_2,MATCH(AX$3,Oficinas!$F$26:$O$26,0),0)),"")</f>
        <v/>
      </c>
      <c r="AY12" t="str">
        <f>+IFERROR(IF(ISBLANK(VLOOKUP(CONCATENATE($F12,"_",AY$4),Oficinas_2,MATCH(AY$3,Oficinas!$F$26:$O$26,0),0)),"",VLOOKUP(CONCATENATE($F12,"_",AY$4),Oficinas_2,MATCH(AY$3,Oficinas!$F$26:$O$26,0),0)),"")</f>
        <v/>
      </c>
      <c r="AZ12" t="str">
        <f>+IFERROR(IF(ISBLANK(VLOOKUP(CONCATENATE($F12,"_",AZ$4),Oficinas_2,MATCH(AZ$3,Oficinas!$F$26:$O$26,0),0)),"",VLOOKUP(CONCATENATE($F12,"_",AZ$4),Oficinas_2,MATCH(AZ$3,Oficinas!$F$26:$O$26,0),0)),"")</f>
        <v/>
      </c>
      <c r="BA12" t="str">
        <f>+IFERROR(IF(ISBLANK(VLOOKUP(CONCATENATE($F12,"_",BA$4),Oficinas_2,MATCH(BA$3,Oficinas!$F$26:$O$26,0),0)),"",VLOOKUP(CONCATENATE($F12,"_",BA$4),Oficinas_2,MATCH(BA$3,Oficinas!$F$26:$O$26,0),0)),"")</f>
        <v/>
      </c>
      <c r="BB12" t="str">
        <f>+IFERROR(IF(ISBLANK(VLOOKUP(CONCATENATE($F12,"_",BB$4),Oficinas_2,MATCH(BB$3,Oficinas!$F$26:$O$26,0),0)),"",VLOOKUP(CONCATENATE($F12,"_",BB$4),Oficinas_2,MATCH(BB$3,Oficinas!$F$26:$O$26,0),0)),"")</f>
        <v/>
      </c>
      <c r="BC12">
        <f t="shared" si="10"/>
        <v>0</v>
      </c>
      <c r="BD12">
        <f t="shared" si="10"/>
        <v>0</v>
      </c>
      <c r="BE12" s="129" t="str">
        <f>+IFERROR(IF(ISBLANK(VLOOKUP(CONCATENATE($F12,"_",BE$4),P1111_4,MATCH(BE$3,PAAC!$E$19:$M$19,0),0)),"",VLOOKUP(CONCATENATE($F12,"_",BE$4),P1111_4,MATCH(BE$3,PAAC!$E$19:$M$19,0),0)),"")</f>
        <v/>
      </c>
      <c r="BF12" s="129" t="str">
        <f>+IFERROR(IF(ISBLANK(VLOOKUP(CONCATENATE($F12,"_",BF$4),P1111_4,MATCH(BF$3,PAAC!$E$19:$M$19,0),0)),"",VLOOKUP(CONCATENATE($F12,"_",BF$4),P1111_4,MATCH(BF$3,PAAC!$E$19:$M$19,0),0)),"")</f>
        <v/>
      </c>
      <c r="BG12" s="129" t="str">
        <f>+IFERROR(IF(ISBLANK(VLOOKUP(CONCATENATE($F12,"_",BG$4),P1111_4,MATCH(BG$3,PAAC!$E$19:$M$19,0),0)),"",VLOOKUP(CONCATENATE($F12,"_",BG$4),P1111_4,MATCH(BG$3,PAAC!$E$19:$M$19,0),0)),"")</f>
        <v/>
      </c>
      <c r="BH12" s="129" t="str">
        <f>+IFERROR(IF(ISBLANK(VLOOKUP(CONCATENATE($F12,"_",BH$4),P1111_4,MATCH(BH$3,PAAC!$E$19:$M$19,0),0)),"",VLOOKUP(CONCATENATE($F12,"_",BH$4),P1111_4,MATCH(BH$3,PAAC!$E$19:$M$19,0),0)),"")</f>
        <v/>
      </c>
      <c r="BI12" s="129" t="str">
        <f>+IFERROR(IF(ISBLANK(VLOOKUP(CONCATENATE($F12,"_",BI$4),P1111_4,MATCH(BI$3,PAAC!$E$19:$M$19,0),0)),"",VLOOKUP(CONCATENATE($F12,"_",BI$4),P1111_4,MATCH(BI$3,PAAC!$E$19:$M$19,0),0)),"")</f>
        <v/>
      </c>
      <c r="BJ12" s="129" t="str">
        <f>+IFERROR(IF(ISBLANK(VLOOKUP(CONCATENATE($F12,"_",BJ$4),P1111_4,MATCH(BJ$3,PAAC!$E$19:$M$19,0),0)),"",VLOOKUP(CONCATENATE($F12,"_",BJ$4),P1111_4,MATCH(BJ$3,PAAC!$E$19:$M$19,0),0)),"")</f>
        <v/>
      </c>
      <c r="BK12" s="129" t="str">
        <f>+IFERROR(IF(ISBLANK(VLOOKUP(CONCATENATE($F12,"_",BK$4),P1111_4,MATCH(BK$3,PAAC!$E$19:$M$19,0),0)),"",VLOOKUP(CONCATENATE($F12,"_",BK$4),P1111_4,MATCH(BK$3,PAAC!$E$19:$M$19,0),0)),"")</f>
        <v/>
      </c>
      <c r="BL12" s="129" t="str">
        <f>+IFERROR(IF(ISBLANK(VLOOKUP(CONCATENATE($F12,"_",BL$4),P1111_4,MATCH(BL$3,PAAC!$E$19:$M$19,0),0)),"",VLOOKUP(CONCATENATE($F12,"_",BL$4),P1111_4,MATCH(BL$3,PAAC!$E$19:$M$19,0),0)),"")</f>
        <v/>
      </c>
      <c r="BM12" s="129" t="str">
        <f>+IFERROR(IF(ISBLANK(VLOOKUP(CONCATENATE($F12,"_",BM$4),P1111_4,MATCH(BM$3,PAAC!$E$19:$M$19,0),0)),"",VLOOKUP(CONCATENATE($F12,"_",BM$4),P1111_4,MATCH(BM$3,PAAC!$E$19:$M$19,0),0)),"")</f>
        <v/>
      </c>
      <c r="BN12" s="129" t="str">
        <f>+IFERROR(IF(ISBLANK(VLOOKUP(CONCATENATE($F12,"_",BN$4),P1111_4,MATCH(BN$3,PAAC!$E$19:$M$19,0),0)),"",VLOOKUP(CONCATENATE($F12,"_",BN$4),P1111_4,MATCH(BN$3,PAAC!$E$19:$M$19,0),0)),"")</f>
        <v/>
      </c>
      <c r="BO12" s="129" t="str">
        <f>+IFERROR(IF(ISBLANK(VLOOKUP(CONCATENATE($F12,"_",BO$4),P1111_4,MATCH(BO$3,PAAC!$E$19:$M$19,0),0)),"",VLOOKUP(CONCATENATE($F12,"_",BO$4),P1111_4,MATCH(BO$3,PAAC!$E$19:$M$19,0),0)),"")</f>
        <v/>
      </c>
      <c r="BP12" s="129" t="str">
        <f>+IFERROR(IF(ISBLANK(VLOOKUP(CONCATENATE($F12,"_",BP$4),P1111_4,MATCH(BP$3,PAAC!$E$19:$M$19,0),0)),"",VLOOKUP(CONCATENATE($F12,"_",BP$4),P1111_4,MATCH(BP$3,PAAC!$E$19:$M$19,0),0)),"")</f>
        <v/>
      </c>
      <c r="BQ12" s="129" t="str">
        <f>+IFERROR(IF(ISBLANK(VLOOKUP(CONCATENATE($F12,"_",BQ$4),P1111_4,MATCH(BQ$3,PAAC!$E$19:$M$19,0),0)),"",VLOOKUP(CONCATENATE($F12,"_",BQ$4),P1111_4,MATCH(BQ$3,PAAC!$E$19:$M$19,0),0)),"")</f>
        <v/>
      </c>
      <c r="BR12" s="129" t="str">
        <f>+IFERROR(IF(ISBLANK(VLOOKUP(CONCATENATE($F12,"_",BR$4),P1111_4,MATCH(BR$3,PAAC!$E$19:$M$19,0),0)),"",VLOOKUP(CONCATENATE($F12,"_",BR$4),P1111_4,MATCH(BR$3,PAAC!$E$19:$M$19,0),0)),"")</f>
        <v/>
      </c>
      <c r="BS12" s="129" t="str">
        <f>+IFERROR(IF(ISBLANK(VLOOKUP(CONCATENATE($F12,"_",BS$4),P1111_4,MATCH(BS$3,PAAC!$E$19:$M$19,0),0)),"",VLOOKUP(CONCATENATE($F12,"_",BS$4),P1111_4,MATCH(BS$3,PAAC!$E$19:$M$19,0),0)),"")</f>
        <v/>
      </c>
      <c r="BT12" s="129" t="str">
        <f>+IFERROR(IF(ISBLANK(VLOOKUP(CONCATENATE($F12,"_",BT$4),P1111_4,MATCH(BT$3,PAAC!$E$19:$M$19,0),0)),"",VLOOKUP(CONCATENATE($F12,"_",BT$4),P1111_4,MATCH(BT$3,PAAC!$E$19:$M$19,0),0)),"")</f>
        <v/>
      </c>
      <c r="BU12" s="129" t="str">
        <f>+IFERROR(IF(ISBLANK(VLOOKUP(CONCATENATE($F12,"_",BU$4),P1111_4,MATCH(BU$3,PAAC!$E$19:$M$19,0),0)),"",VLOOKUP(CONCATENATE($F12,"_",BU$4),P1111_4,MATCH(BU$3,PAAC!$E$19:$M$19,0),0)),"")</f>
        <v/>
      </c>
      <c r="BV12" s="129" t="str">
        <f>+IFERROR(IF(ISBLANK(VLOOKUP(CONCATENATE($F12,"_",BV$4),P1111_4,MATCH(BV$3,PAAC!$E$19:$M$19,0),0)),"",VLOOKUP(CONCATENATE($F12,"_",BV$4),P1111_4,MATCH(BV$3,PAAC!$E$19:$M$19,0),0)),"")</f>
        <v/>
      </c>
      <c r="BW12" s="129" t="str">
        <f>+IFERROR(IF(ISBLANK(VLOOKUP(CONCATENATE($F12,"_",BW$4),P1111_4,MATCH(BW$3,PAAC!$E$19:$M$19,0),0)),"",VLOOKUP(CONCATENATE($F12,"_",BW$4),P1111_4,MATCH(BW$3,PAAC!$E$19:$M$19,0),0)),"")</f>
        <v/>
      </c>
      <c r="BX12" s="129" t="str">
        <f>+IFERROR(IF(ISBLANK(VLOOKUP(CONCATENATE($F12,"_",BX$4),P1111_4,MATCH(BX$3,PAAC!$E$19:$M$19,0),0)),"",VLOOKUP(CONCATENATE($F12,"_",BX$4),P1111_4,MATCH(BX$3,PAAC!$E$19:$M$19,0),0)),"")</f>
        <v/>
      </c>
      <c r="BY12" s="129" t="str">
        <f>+IFERROR(IF(ISBLANK(VLOOKUP(CONCATENATE($F12,"_",BY$4),P1111_4,MATCH(BY$3,PAAC!$E$19:$M$19,0),0)),"",VLOOKUP(CONCATENATE($F12,"_",BY$4),P1111_4,MATCH(BY$3,PAAC!$E$19:$M$19,0),0)),"")</f>
        <v/>
      </c>
      <c r="BZ12" s="129" t="str">
        <f>+IFERROR(IF(ISBLANK(VLOOKUP(CONCATENATE($F12,"_",BZ$4),P1111_4,MATCH(BZ$3,PAAC!$E$19:$M$19,0),0)),"",VLOOKUP(CONCATENATE($F12,"_",BZ$4),P1111_4,MATCH(BZ$3,PAAC!$E$19:$M$19,0),0)),"")</f>
        <v/>
      </c>
      <c r="CA12" s="129" t="str">
        <f>+IFERROR(IF(ISBLANK(VLOOKUP(CONCATENATE($F12,"_",CA$4),P1111_4,MATCH(CA$3,PAAC!$E$19:$M$19,0),0)),"",VLOOKUP(CONCATENATE($F12,"_",CA$4),P1111_4,MATCH(CA$3,PAAC!$E$19:$M$19,0),0)),"")</f>
        <v/>
      </c>
      <c r="CB12" s="129" t="str">
        <f>+IFERROR(IF(ISBLANK(VLOOKUP(CONCATENATE($F12,"_",CB$4),P1111_4,MATCH(CB$3,PAAC!$E$19:$M$19,0),0)),"",VLOOKUP(CONCATENATE($F12,"_",CB$4),P1111_4,MATCH(CB$3,PAAC!$E$19:$M$19,0),0)),"")</f>
        <v/>
      </c>
      <c r="CC12" s="129" t="str">
        <f>+IFERROR(IF(ISBLANK(VLOOKUP(CONCATENATE($F12,"_",CC$4),P1111_4,MATCH(CC$3,PAAC!$E$19:$M$19,0),0)),"",VLOOKUP(CONCATENATE($F12,"_",CC$4),P1111_4,MATCH(CC$3,PAAC!$E$19:$M$19,0),0)),"")</f>
        <v/>
      </c>
      <c r="CD12" s="129" t="str">
        <f t="shared" si="11"/>
        <v/>
      </c>
      <c r="CE12" s="129" t="str">
        <f t="shared" si="3"/>
        <v/>
      </c>
      <c r="CF12" s="129" t="str">
        <f t="shared" si="4"/>
        <v/>
      </c>
      <c r="CG12" s="129" t="str">
        <f t="shared" si="5"/>
        <v/>
      </c>
      <c r="CH12" s="129" t="str">
        <f t="shared" si="6"/>
        <v/>
      </c>
      <c r="CI12" t="e">
        <f t="shared" ref="CI12:CR24" si="18">+VLOOKUP($F12,Oficinas_R,CI$4,0)</f>
        <v>#N/A</v>
      </c>
      <c r="CJ12" t="e">
        <f t="shared" si="18"/>
        <v>#N/A</v>
      </c>
      <c r="CK12" t="e">
        <f t="shared" si="18"/>
        <v>#N/A</v>
      </c>
      <c r="CL12" t="e">
        <f t="shared" si="18"/>
        <v>#N/A</v>
      </c>
      <c r="CM12" t="e">
        <f t="shared" si="18"/>
        <v>#N/A</v>
      </c>
      <c r="CN12" t="e">
        <f t="shared" si="18"/>
        <v>#N/A</v>
      </c>
      <c r="CO12" t="e">
        <f t="shared" si="18"/>
        <v>#N/A</v>
      </c>
      <c r="CP12" t="e">
        <f t="shared" si="18"/>
        <v>#N/A</v>
      </c>
      <c r="CQ12" t="e">
        <f t="shared" si="18"/>
        <v>#N/A</v>
      </c>
      <c r="CR12" t="e">
        <f t="shared" si="18"/>
        <v>#N/A</v>
      </c>
      <c r="CS12" t="e">
        <f t="shared" ref="CS12:DB24" si="19">+VLOOKUP($F12,Oficinas_R,CS$4,0)</f>
        <v>#N/A</v>
      </c>
      <c r="CT12" t="e">
        <f t="shared" si="19"/>
        <v>#N/A</v>
      </c>
      <c r="CU12" t="e">
        <f t="shared" si="19"/>
        <v>#N/A</v>
      </c>
      <c r="CV12" t="e">
        <f t="shared" si="19"/>
        <v>#N/A</v>
      </c>
      <c r="CW12" t="e">
        <f t="shared" si="19"/>
        <v>#N/A</v>
      </c>
      <c r="CX12" t="e">
        <f t="shared" si="19"/>
        <v>#N/A</v>
      </c>
      <c r="CY12" t="e">
        <f t="shared" si="19"/>
        <v>#N/A</v>
      </c>
      <c r="CZ12" t="e">
        <f t="shared" si="19"/>
        <v>#N/A</v>
      </c>
      <c r="DA12" t="e">
        <f t="shared" si="19"/>
        <v>#N/A</v>
      </c>
      <c r="DB12" t="e">
        <f t="shared" si="19"/>
        <v>#N/A</v>
      </c>
      <c r="DC12" t="e">
        <f t="shared" ref="DC12:DL24" si="20">+VLOOKUP($F12,Oficinas_R,DC$4,0)</f>
        <v>#N/A</v>
      </c>
      <c r="DD12" t="e">
        <f t="shared" si="20"/>
        <v>#N/A</v>
      </c>
      <c r="DE12" t="e">
        <f t="shared" si="20"/>
        <v>#N/A</v>
      </c>
      <c r="DF12" t="e">
        <f t="shared" si="20"/>
        <v>#N/A</v>
      </c>
      <c r="DG12" t="e">
        <f t="shared" si="20"/>
        <v>#N/A</v>
      </c>
      <c r="DH12" t="e">
        <f t="shared" si="20"/>
        <v>#N/A</v>
      </c>
      <c r="DI12" t="e">
        <f t="shared" si="20"/>
        <v>#N/A</v>
      </c>
      <c r="DJ12" t="e">
        <f t="shared" si="20"/>
        <v>#N/A</v>
      </c>
      <c r="DK12" t="e">
        <f t="shared" si="20"/>
        <v>#N/A</v>
      </c>
      <c r="DL12" t="e">
        <f t="shared" si="20"/>
        <v>#N/A</v>
      </c>
      <c r="DM12" t="e">
        <f t="shared" ref="DM12:DX24" si="21">+VLOOKUP($F12,Oficinas_R,DM$4,0)</f>
        <v>#N/A</v>
      </c>
      <c r="DN12" t="e">
        <f t="shared" si="21"/>
        <v>#N/A</v>
      </c>
      <c r="DO12" t="e">
        <f t="shared" si="21"/>
        <v>#N/A</v>
      </c>
      <c r="DP12" t="e">
        <f t="shared" si="21"/>
        <v>#N/A</v>
      </c>
      <c r="DQ12" t="e">
        <f t="shared" si="21"/>
        <v>#N/A</v>
      </c>
      <c r="DR12" t="e">
        <f t="shared" si="21"/>
        <v>#N/A</v>
      </c>
      <c r="DS12" t="e">
        <f t="shared" si="21"/>
        <v>#N/A</v>
      </c>
      <c r="DT12" t="e">
        <f t="shared" si="21"/>
        <v>#N/A</v>
      </c>
      <c r="DU12" t="e">
        <f t="shared" si="21"/>
        <v>#N/A</v>
      </c>
      <c r="DV12" t="e">
        <f t="shared" si="21"/>
        <v>#N/A</v>
      </c>
      <c r="DW12" t="e">
        <f t="shared" si="21"/>
        <v>#N/A</v>
      </c>
      <c r="DX12" t="e">
        <f t="shared" si="21"/>
        <v>#N/A</v>
      </c>
    </row>
    <row r="13" spans="1:129" x14ac:dyDescent="0.3">
      <c r="A13" s="423" t="str">
        <f t="shared" si="16"/>
        <v>152D</v>
      </c>
      <c r="B13" t="str">
        <f t="shared" si="17"/>
        <v>8_Oficina Asesora de Planeación</v>
      </c>
      <c r="C13">
        <f t="shared" si="8"/>
        <v>8</v>
      </c>
      <c r="D13" t="str">
        <f t="shared" si="0"/>
        <v>Oficina Asesora de Planeación</v>
      </c>
      <c r="E13" t="str">
        <f t="shared" si="1"/>
        <v>oap</v>
      </c>
      <c r="F13" s="208" t="str">
        <f>Oficinas!D11</f>
        <v>152D</v>
      </c>
      <c r="G13" t="str">
        <f t="shared" si="2"/>
        <v>Constante</v>
      </c>
      <c r="H13" t="str">
        <f t="shared" si="2"/>
        <v>Porcentaje</v>
      </c>
      <c r="I13">
        <f t="shared" si="2"/>
        <v>1</v>
      </c>
      <c r="J13">
        <f t="shared" si="2"/>
        <v>1</v>
      </c>
      <c r="K13" t="str">
        <f>+IFERROR(VLOOKUP($F13,Oficinas_1,MATCH(K$5,Oficinas!$D$9:$V$9,0),0),"")</f>
        <v>Suma</v>
      </c>
      <c r="L13">
        <f>+IFERROR(VLOOKUP($F13,Oficinas_1,MATCH(L$5,Oficinas!$D$9:$V$9,0),0),"")</f>
        <v>1</v>
      </c>
      <c r="M13">
        <f t="shared" si="9"/>
        <v>0</v>
      </c>
      <c r="N13">
        <f>+IFERROR(VLOOKUP($F13,Oficinas_1,MATCH(N$5,Oficinas!$D$9:$V$9,0),0),"")</f>
        <v>0</v>
      </c>
      <c r="O13">
        <f>+IFERROR(VLOOKUP($F13,Oficinas_1,MATCH(O$5,Oficinas!$D$9:$V$9,0),0),"")</f>
        <v>0</v>
      </c>
      <c r="P13">
        <f>+IFERROR(VLOOKUP($F13,Oficinas_1,MATCH(P$5,Oficinas!$D$9:$V$9,0),0),"")</f>
        <v>0</v>
      </c>
      <c r="Q13">
        <f>+IFERROR(VLOOKUP($F13,Oficinas_1,MATCH(Q$5,Oficinas!$D$9:$V$9,0),0),"")</f>
        <v>0</v>
      </c>
      <c r="R13">
        <f>+IFERROR(VLOOKUP($F13,Oficinas_1,MATCH(R$5,Oficinas!$D$9:$V$9,0),0),"")</f>
        <v>1</v>
      </c>
      <c r="S13">
        <f>+IFERROR(VLOOKUP($F13,Oficinas_1,MATCH(S$5,Oficinas!$D$9:$V$9,0),0),"")</f>
        <v>0</v>
      </c>
      <c r="T13">
        <f>+IFERROR(VLOOKUP($F13,Oficinas_1,MATCH(T$5,Oficinas!$D$9:$V$9,0),0),"")</f>
        <v>100</v>
      </c>
      <c r="U13" t="str">
        <f>+IFERROR(VLOOKUP($F13,Oficinas_1,MATCH(U$5,Oficinas!$D$9:$V$9,0),0),"")</f>
        <v>Mide el monitoreo realizado por la OAP al cumplimiento de la aplicación del Plan Anticorrupción en la Entidad.</v>
      </c>
      <c r="V13" t="str">
        <f>+IFERROR(VLOOKUP($F13,Oficinas_1,MATCH(V$5,Oficinas!$D$9:$V$9,0),0),"")</f>
        <v>Realizar el monitoreo a la ejecución del Plan Anticorrupción de de Atención al Ciudadano PAAC</v>
      </c>
      <c r="W13" t="str">
        <f>+IFERROR(VLOOKUP($F13,Oficinas_1,MATCH(W$5,Oficinas!$D$9:$V$9,0),0),"")</f>
        <v>Cumplimiento del 100% de las actividades programadas en el marco de la lucha contra la corrupción en la Secretaria General de la Alcaldía mayor de Bogotá.</v>
      </c>
      <c r="X13" t="str">
        <f>+IFERROR(VLOOKUP($F13,Oficinas_1,MATCH(X$5,Oficinas!$D$9:$V$9,0),0),"")</f>
        <v>Matriz de monitoreo a la ejecucución del Plan Anticorrupción de de Atención al Ciudadano PAAC</v>
      </c>
      <c r="Y13">
        <f>+IFERROR(IF(ISBLANK(VLOOKUP(CONCATENATE($F13,"_",Y$4),Oficinas_2,MATCH(Y$3,Oficinas!$F$26:$O$26,0),0)),"",VLOOKUP(CONCATENATE($F13,"_",Y$4),Oficinas_2,MATCH(Y$3,Oficinas!$F$26:$O$26,0),0)),"")</f>
        <v>0</v>
      </c>
      <c r="Z13">
        <f>+IFERROR(IF(ISBLANK(VLOOKUP(CONCATENATE($F13,"_",Z$4),Oficinas_2,MATCH(Z$3,Oficinas!$F$26:$O$26,0),0)),"",VLOOKUP(CONCATENATE($F13,"_",Z$4),Oficinas_2,MATCH(Z$3,Oficinas!$F$26:$O$26,0),0)),"")</f>
        <v>0</v>
      </c>
      <c r="AA13" t="str">
        <f>+IFERROR(IF(ISBLANK(VLOOKUP(CONCATENATE($F13,"_",AA$4),Oficinas_2,MATCH(AA$3,Oficinas!$F$26:$O$26,0),0)),"",VLOOKUP(CONCATENATE($F13,"_",AA$4),Oficinas_2,MATCH(AA$3,Oficinas!$F$26:$O$26,0),0)),"")</f>
        <v>no aplica</v>
      </c>
      <c r="AB13" t="str">
        <f>+IFERROR(IF(ISBLANK(VLOOKUP(CONCATENATE($F13,"_",AB$4),Oficinas_2,MATCH(AB$3,Oficinas!$F$26:$O$26,0),0)),"",VLOOKUP(CONCATENATE($F13,"_",AB$4),Oficinas_2,MATCH(AB$3,Oficinas!$F$26:$O$26,0),0)),"")</f>
        <v>no aplica</v>
      </c>
      <c r="AC13" t="str">
        <f>+IFERROR(IF(ISBLANK(VLOOKUP(CONCATENATE($F13,"_",AC$4),Oficinas_2,MATCH(AC$3,Oficinas!$F$26:$O$26,0),0)),"",VLOOKUP(CONCATENATE($F13,"_",AC$4),Oficinas_2,MATCH(AC$3,Oficinas!$F$26:$O$26,0),0)),"")</f>
        <v>no aplica</v>
      </c>
      <c r="AD13">
        <f>+IFERROR(IF(ISBLANK(VLOOKUP(CONCATENATE($F13,"_",AD$4),Oficinas_2,MATCH(AD$3,Oficinas!$F$26:$O$26,0),0)),"",VLOOKUP(CONCATENATE($F13,"_",AD$4),Oficinas_2,MATCH(AD$3,Oficinas!$F$26:$O$26,0),0)),"")</f>
        <v>0</v>
      </c>
      <c r="AE13">
        <f>+IFERROR(IF(ISBLANK(VLOOKUP(CONCATENATE($F13,"_",AE$4),Oficinas_2,MATCH(AE$3,Oficinas!$F$26:$O$26,0),0)),"",VLOOKUP(CONCATENATE($F13,"_",AE$4),Oficinas_2,MATCH(AE$3,Oficinas!$F$26:$O$26,0),0)),"")</f>
        <v>0</v>
      </c>
      <c r="AF13" t="str">
        <f>+IFERROR(IF(ISBLANK(VLOOKUP(CONCATENATE($F13,"_",AF$4),Oficinas_2,MATCH(AF$3,Oficinas!$F$26:$O$26,0),0)),"",VLOOKUP(CONCATENATE($F13,"_",AF$4),Oficinas_2,MATCH(AF$3,Oficinas!$F$26:$O$26,0),0)),"")</f>
        <v>no aplica</v>
      </c>
      <c r="AG13" t="str">
        <f>+IFERROR(IF(ISBLANK(VLOOKUP(CONCATENATE($F13,"_",AG$4),Oficinas_2,MATCH(AG$3,Oficinas!$F$26:$O$26,0),0)),"",VLOOKUP(CONCATENATE($F13,"_",AG$4),Oficinas_2,MATCH(AG$3,Oficinas!$F$26:$O$26,0),0)),"")</f>
        <v>no aplica</v>
      </c>
      <c r="AH13" t="str">
        <f>+IFERROR(IF(ISBLANK(VLOOKUP(CONCATENATE($F13,"_",AH$4),Oficinas_2,MATCH(AH$3,Oficinas!$F$26:$O$26,0),0)),"",VLOOKUP(CONCATENATE($F13,"_",AH$4),Oficinas_2,MATCH(AH$3,Oficinas!$F$26:$O$26,0),0)),"")</f>
        <v>no aplica</v>
      </c>
      <c r="AI13">
        <f>+IFERROR(IF(ISBLANK(VLOOKUP(CONCATENATE($F13,"_",AI$4),Oficinas_2,MATCH(AI$3,Oficinas!$F$26:$O$26,0),0)),"",VLOOKUP(CONCATENATE($F13,"_",AI$4),Oficinas_2,MATCH(AI$3,Oficinas!$F$26:$O$26,0),0)),"")</f>
        <v>0</v>
      </c>
      <c r="AJ13">
        <f>+IFERROR(IF(ISBLANK(VLOOKUP(CONCATENATE($F13,"_",AJ$4),Oficinas_2,MATCH(AJ$3,Oficinas!$F$26:$O$26,0),0)),"",VLOOKUP(CONCATENATE($F13,"_",AJ$4),Oficinas_2,MATCH(AJ$3,Oficinas!$F$26:$O$26,0),0)),"")</f>
        <v>0</v>
      </c>
      <c r="AK13" t="str">
        <f>+IFERROR(IF(ISBLANK(VLOOKUP(CONCATENATE($F13,"_",AK$4),Oficinas_2,MATCH(AK$3,Oficinas!$F$26:$O$26,0),0)),"",VLOOKUP(CONCATENATE($F13,"_",AK$4),Oficinas_2,MATCH(AK$3,Oficinas!$F$26:$O$26,0),0)),"")</f>
        <v>no aplica</v>
      </c>
      <c r="AL13" t="str">
        <f>+IFERROR(IF(ISBLANK(VLOOKUP(CONCATENATE($F13,"_",AL$4),Oficinas_2,MATCH(AL$3,Oficinas!$F$26:$O$26,0),0)),"",VLOOKUP(CONCATENATE($F13,"_",AL$4),Oficinas_2,MATCH(AL$3,Oficinas!$F$26:$O$26,0),0)),"")</f>
        <v>no aplica</v>
      </c>
      <c r="AM13" t="str">
        <f>+IFERROR(IF(ISBLANK(VLOOKUP(CONCATENATE($F13,"_",AM$4),Oficinas_2,MATCH(AM$3,Oficinas!$F$26:$O$26,0),0)),"",VLOOKUP(CONCATENATE($F13,"_",AM$4),Oficinas_2,MATCH(AM$3,Oficinas!$F$26:$O$26,0),0)),"")</f>
        <v>no aplica</v>
      </c>
      <c r="AN13">
        <f>+IFERROR(IF(ISBLANK(VLOOKUP(CONCATENATE($F13,"_",AN$4),Oficinas_2,MATCH(AN$3,Oficinas!$F$26:$O$26,0),0)),"",VLOOKUP(CONCATENATE($F13,"_",AN$4),Oficinas_2,MATCH(AN$3,Oficinas!$F$26:$O$26,0),0)),"")</f>
        <v>0</v>
      </c>
      <c r="AO13">
        <f>+IFERROR(IF(ISBLANK(VLOOKUP(CONCATENATE($F13,"_",AO$4),Oficinas_2,MATCH(AO$3,Oficinas!$F$26:$O$26,0),0)),"",VLOOKUP(CONCATENATE($F13,"_",AO$4),Oficinas_2,MATCH(AO$3,Oficinas!$F$26:$O$26,0),0)),"")</f>
        <v>0</v>
      </c>
      <c r="AP13" t="str">
        <f>+IFERROR(IF(ISBLANK(VLOOKUP(CONCATENATE($F13,"_",AP$4),Oficinas_2,MATCH(AP$3,Oficinas!$F$26:$O$26,0),0)),"",VLOOKUP(CONCATENATE($F13,"_",AP$4),Oficinas_2,MATCH(AP$3,Oficinas!$F$26:$O$26,0),0)),"")</f>
        <v>no aplica</v>
      </c>
      <c r="AQ13" t="str">
        <f>+IFERROR(IF(ISBLANK(VLOOKUP(CONCATENATE($F13,"_",AQ$4),Oficinas_2,MATCH(AQ$3,Oficinas!$F$26:$O$26,0),0)),"",VLOOKUP(CONCATENATE($F13,"_",AQ$4),Oficinas_2,MATCH(AQ$3,Oficinas!$F$26:$O$26,0),0)),"")</f>
        <v>no aplica</v>
      </c>
      <c r="AR13" t="str">
        <f>+IFERROR(IF(ISBLANK(VLOOKUP(CONCATENATE($F13,"_",AR$4),Oficinas_2,MATCH(AR$3,Oficinas!$F$26:$O$26,0),0)),"",VLOOKUP(CONCATENATE($F13,"_",AR$4),Oficinas_2,MATCH(AR$3,Oficinas!$F$26:$O$26,0),0)),"")</f>
        <v>no aplica</v>
      </c>
      <c r="AS13">
        <f>+IFERROR(IF(ISBLANK(VLOOKUP(CONCATENATE($F13,"_",AS$4),Oficinas_2,MATCH(AS$3,Oficinas!$F$26:$O$26,0),0)),"",VLOOKUP(CONCATENATE($F13,"_",AS$4),Oficinas_2,MATCH(AS$3,Oficinas!$F$26:$O$26,0),0)),"")</f>
        <v>1</v>
      </c>
      <c r="AT13">
        <f>+IFERROR(IF(ISBLANK(VLOOKUP(CONCATENATE($F13,"_",AT$4),Oficinas_2,MATCH(AT$3,Oficinas!$F$26:$O$26,0),0)),"",VLOOKUP(CONCATENATE($F13,"_",AT$4),Oficinas_2,MATCH(AT$3,Oficinas!$F$26:$O$26,0),0)),"")</f>
        <v>1</v>
      </c>
      <c r="AU13" t="str">
        <f>+IFERROR(IF(ISBLANK(VLOOKUP(CONCATENATE($F13,"_",AU$4),Oficinas_2,MATCH(AU$3,Oficinas!$F$26:$O$26,0),0)),"",VLOOKUP(CONCATENATE($F13,"_",AU$4),Oficinas_2,MATCH(AU$3,Oficinas!$F$26:$O$26,0),0)),"")</f>
        <v xml:space="preserve">Mediante memorando 3-2020-9716 se solicitó a todas las dependencias con actividades en el Plan Anticorrupción y de Atención al Ciudadano la solicitud de reportar la ejecución de las actividades, para ello se  elaboró una herramienta para que las dependencias registraran las acciones trabajadas en los meses de enero, febrero, marzo y abril. Asimismo, solicito el envio de las evidencias que soportan el cumplimiento de las actividades programadas a traves de un memorando. Para el reporte de las actividades  del PAAC del mes de mayo se solicitó a través del memorando 3-2020- 11650. Una vez recolectada toda la información se monitoreo el avance en la ejecución de las actividades por componente y actividad registrando el cumplimiento en la herramienta diseñada para tal fin. El monitoreo de los primeros cuatro meses fue  un insumo para que la Oficina de Control realizara el seguimiento al PAAC. </v>
      </c>
      <c r="AV13" t="str">
        <f>+IFERROR(IF(ISBLANK(VLOOKUP(CONCATENATE($F13,"_",AV$4),Oficinas_2,MATCH(AV$3,Oficinas!$F$26:$O$26,0),0)),"",VLOOKUP(CONCATENATE($F13,"_",AV$4),Oficinas_2,MATCH(AV$3,Oficinas!$F$26:$O$26,0),0)),"")</f>
        <v xml:space="preserve">Se identificó que para la primera versión del Plan Anticorrupción y de antención al ciudadano se debian realizar ajustes de redacción y estructura de medición de algunas de las actividades, por lo que se reunió con las dependencias para revisar las actividades, la programación y las metas. Como resultado se publico en abril la segunda versión.
Se creo una nueva herramiento de monitoreo a las actividades del PAAC. 
Se tuvo dificultades para implemenar la transición de medir el PAAC por indicadores indivuduales a contar con un indicador por componente.   
La pandemia COVID -19 , llevo a que algunas dependencias tuvieran que cambiar algunas de las metas propuestas por que se veian directamente afectadas para dar cumplimiento frente a las medidas que se tomaban en la ciudad. </v>
      </c>
      <c r="AW13" t="str">
        <f>+IFERROR(IF(ISBLANK(VLOOKUP(CONCATENATE($F13,"_",AW$4),Oficinas_2,MATCH(AW$3,Oficinas!$F$26:$O$26,0),0)),"",VLOOKUP(CONCATENATE($F13,"_",AW$4),Oficinas_2,MATCH(AW$3,Oficinas!$F$26:$O$26,0),0)),"")</f>
        <v xml:space="preserve"> EL monitoreo al PAAC permite visualizar el nivel de avance de cada uno  de los componentes, evidenciando el desarrollo de las actividades  programadas por cada una de las dependencias de la entidad. 
A su vez, contar con una herramienta nueva de reporte y monitoreo que muestre  el avance del PAAC por componente y su  progreso mensual,  permite  contar con la información necesaria para 
revisar cada una de las actividades y tomar medidas a tiempo para cumplir con lo programado. </v>
      </c>
      <c r="AX13" t="str">
        <f>+IFERROR(IF(ISBLANK(VLOOKUP(CONCATENATE($F13,"_",AX$4),Oficinas_2,MATCH(AX$3,Oficinas!$F$26:$O$26,0),0)),"",VLOOKUP(CONCATENATE($F13,"_",AX$4),Oficinas_2,MATCH(AX$3,Oficinas!$F$26:$O$26,0),0)),"")</f>
        <v/>
      </c>
      <c r="AY13" t="str">
        <f>+IFERROR(IF(ISBLANK(VLOOKUP(CONCATENATE($F13,"_",AY$4),Oficinas_2,MATCH(AY$3,Oficinas!$F$26:$O$26,0),0)),"",VLOOKUP(CONCATENATE($F13,"_",AY$4),Oficinas_2,MATCH(AY$3,Oficinas!$F$26:$O$26,0),0)),"")</f>
        <v/>
      </c>
      <c r="AZ13" t="str">
        <f>+IFERROR(IF(ISBLANK(VLOOKUP(CONCATENATE($F13,"_",AZ$4),Oficinas_2,MATCH(AZ$3,Oficinas!$F$26:$O$26,0),0)),"",VLOOKUP(CONCATENATE($F13,"_",AZ$4),Oficinas_2,MATCH(AZ$3,Oficinas!$F$26:$O$26,0),0)),"")</f>
        <v/>
      </c>
      <c r="BA13" t="str">
        <f>+IFERROR(IF(ISBLANK(VLOOKUP(CONCATENATE($F13,"_",BA$4),Oficinas_2,MATCH(BA$3,Oficinas!$F$26:$O$26,0),0)),"",VLOOKUP(CONCATENATE($F13,"_",BA$4),Oficinas_2,MATCH(BA$3,Oficinas!$F$26:$O$26,0),0)),"")</f>
        <v/>
      </c>
      <c r="BB13" t="str">
        <f>+IFERROR(IF(ISBLANK(VLOOKUP(CONCATENATE($F13,"_",BB$4),Oficinas_2,MATCH(BB$3,Oficinas!$F$26:$O$26,0),0)),"",VLOOKUP(CONCATENATE($F13,"_",BB$4),Oficinas_2,MATCH(BB$3,Oficinas!$F$26:$O$26,0),0)),"")</f>
        <v/>
      </c>
      <c r="BC13">
        <f t="shared" si="10"/>
        <v>1</v>
      </c>
      <c r="BD13">
        <f t="shared" si="10"/>
        <v>1</v>
      </c>
      <c r="BE13" s="129" t="str">
        <f>+IFERROR(IF(ISBLANK(VLOOKUP(CONCATENATE($F13,"_",BE$4),P1111_4,MATCH(BE$3,PAAC!$E$19:$M$19,0),0)),"",VLOOKUP(CONCATENATE($F13,"_",BE$4),P1111_4,MATCH(BE$3,PAAC!$E$19:$M$19,0),0)),"")</f>
        <v/>
      </c>
      <c r="BF13" s="129" t="str">
        <f>+IFERROR(IF(ISBLANK(VLOOKUP(CONCATENATE($F13,"_",BF$4),P1111_4,MATCH(BF$3,PAAC!$E$19:$M$19,0),0)),"",VLOOKUP(CONCATENATE($F13,"_",BF$4),P1111_4,MATCH(BF$3,PAAC!$E$19:$M$19,0),0)),"")</f>
        <v/>
      </c>
      <c r="BG13" s="129" t="str">
        <f>+IFERROR(IF(ISBLANK(VLOOKUP(CONCATENATE($F13,"_",BG$4),P1111_4,MATCH(BG$3,PAAC!$E$19:$M$19,0),0)),"",VLOOKUP(CONCATENATE($F13,"_",BG$4),P1111_4,MATCH(BG$3,PAAC!$E$19:$M$19,0),0)),"")</f>
        <v/>
      </c>
      <c r="BH13" s="129" t="str">
        <f>+IFERROR(IF(ISBLANK(VLOOKUP(CONCATENATE($F13,"_",BH$4),P1111_4,MATCH(BH$3,PAAC!$E$19:$M$19,0),0)),"",VLOOKUP(CONCATENATE($F13,"_",BH$4),P1111_4,MATCH(BH$3,PAAC!$E$19:$M$19,0),0)),"")</f>
        <v/>
      </c>
      <c r="BI13" s="129" t="str">
        <f>+IFERROR(IF(ISBLANK(VLOOKUP(CONCATENATE($F13,"_",BI$4),P1111_4,MATCH(BI$3,PAAC!$E$19:$M$19,0),0)),"",VLOOKUP(CONCATENATE($F13,"_",BI$4),P1111_4,MATCH(BI$3,PAAC!$E$19:$M$19,0),0)),"")</f>
        <v/>
      </c>
      <c r="BJ13" s="129" t="str">
        <f>+IFERROR(IF(ISBLANK(VLOOKUP(CONCATENATE($F13,"_",BJ$4),P1111_4,MATCH(BJ$3,PAAC!$E$19:$M$19,0),0)),"",VLOOKUP(CONCATENATE($F13,"_",BJ$4),P1111_4,MATCH(BJ$3,PAAC!$E$19:$M$19,0),0)),"")</f>
        <v/>
      </c>
      <c r="BK13" s="129" t="str">
        <f>+IFERROR(IF(ISBLANK(VLOOKUP(CONCATENATE($F13,"_",BK$4),P1111_4,MATCH(BK$3,PAAC!$E$19:$M$19,0),0)),"",VLOOKUP(CONCATENATE($F13,"_",BK$4),P1111_4,MATCH(BK$3,PAAC!$E$19:$M$19,0),0)),"")</f>
        <v/>
      </c>
      <c r="BL13" s="129" t="str">
        <f>+IFERROR(IF(ISBLANK(VLOOKUP(CONCATENATE($F13,"_",BL$4),P1111_4,MATCH(BL$3,PAAC!$E$19:$M$19,0),0)),"",VLOOKUP(CONCATENATE($F13,"_",BL$4),P1111_4,MATCH(BL$3,PAAC!$E$19:$M$19,0),0)),"")</f>
        <v/>
      </c>
      <c r="BM13" s="129" t="str">
        <f>+IFERROR(IF(ISBLANK(VLOOKUP(CONCATENATE($F13,"_",BM$4),P1111_4,MATCH(BM$3,PAAC!$E$19:$M$19,0),0)),"",VLOOKUP(CONCATENATE($F13,"_",BM$4),P1111_4,MATCH(BM$3,PAAC!$E$19:$M$19,0),0)),"")</f>
        <v/>
      </c>
      <c r="BN13" s="129" t="str">
        <f>+IFERROR(IF(ISBLANK(VLOOKUP(CONCATENATE($F13,"_",BN$4),P1111_4,MATCH(BN$3,PAAC!$E$19:$M$19,0),0)),"",VLOOKUP(CONCATENATE($F13,"_",BN$4),P1111_4,MATCH(BN$3,PAAC!$E$19:$M$19,0),0)),"")</f>
        <v/>
      </c>
      <c r="BO13" s="129" t="str">
        <f>+IFERROR(IF(ISBLANK(VLOOKUP(CONCATENATE($F13,"_",BO$4),P1111_4,MATCH(BO$3,PAAC!$E$19:$M$19,0),0)),"",VLOOKUP(CONCATENATE($F13,"_",BO$4),P1111_4,MATCH(BO$3,PAAC!$E$19:$M$19,0),0)),"")</f>
        <v/>
      </c>
      <c r="BP13" s="129" t="str">
        <f>+IFERROR(IF(ISBLANK(VLOOKUP(CONCATENATE($F13,"_",BP$4),P1111_4,MATCH(BP$3,PAAC!$E$19:$M$19,0),0)),"",VLOOKUP(CONCATENATE($F13,"_",BP$4),P1111_4,MATCH(BP$3,PAAC!$E$19:$M$19,0),0)),"")</f>
        <v/>
      </c>
      <c r="BQ13" s="129" t="str">
        <f>+IFERROR(IF(ISBLANK(VLOOKUP(CONCATENATE($F13,"_",BQ$4),P1111_4,MATCH(BQ$3,PAAC!$E$19:$M$19,0),0)),"",VLOOKUP(CONCATENATE($F13,"_",BQ$4),P1111_4,MATCH(BQ$3,PAAC!$E$19:$M$19,0),0)),"")</f>
        <v/>
      </c>
      <c r="BR13" s="129" t="str">
        <f>+IFERROR(IF(ISBLANK(VLOOKUP(CONCATENATE($F13,"_",BR$4),P1111_4,MATCH(BR$3,PAAC!$E$19:$M$19,0),0)),"",VLOOKUP(CONCATENATE($F13,"_",BR$4),P1111_4,MATCH(BR$3,PAAC!$E$19:$M$19,0),0)),"")</f>
        <v/>
      </c>
      <c r="BS13" s="129" t="str">
        <f>+IFERROR(IF(ISBLANK(VLOOKUP(CONCATENATE($F13,"_",BS$4),P1111_4,MATCH(BS$3,PAAC!$E$19:$M$19,0),0)),"",VLOOKUP(CONCATENATE($F13,"_",BS$4),P1111_4,MATCH(BS$3,PAAC!$E$19:$M$19,0),0)),"")</f>
        <v/>
      </c>
      <c r="BT13" s="129" t="str">
        <f>+IFERROR(IF(ISBLANK(VLOOKUP(CONCATENATE($F13,"_",BT$4),P1111_4,MATCH(BT$3,PAAC!$E$19:$M$19,0),0)),"",VLOOKUP(CONCATENATE($F13,"_",BT$4),P1111_4,MATCH(BT$3,PAAC!$E$19:$M$19,0),0)),"")</f>
        <v/>
      </c>
      <c r="BU13" s="129" t="str">
        <f>+IFERROR(IF(ISBLANK(VLOOKUP(CONCATENATE($F13,"_",BU$4),P1111_4,MATCH(BU$3,PAAC!$E$19:$M$19,0),0)),"",VLOOKUP(CONCATENATE($F13,"_",BU$4),P1111_4,MATCH(BU$3,PAAC!$E$19:$M$19,0),0)),"")</f>
        <v/>
      </c>
      <c r="BV13" s="129" t="str">
        <f>+IFERROR(IF(ISBLANK(VLOOKUP(CONCATENATE($F13,"_",BV$4),P1111_4,MATCH(BV$3,PAAC!$E$19:$M$19,0),0)),"",VLOOKUP(CONCATENATE($F13,"_",BV$4),P1111_4,MATCH(BV$3,PAAC!$E$19:$M$19,0),0)),"")</f>
        <v/>
      </c>
      <c r="BW13" s="129" t="str">
        <f>+IFERROR(IF(ISBLANK(VLOOKUP(CONCATENATE($F13,"_",BW$4),P1111_4,MATCH(BW$3,PAAC!$E$19:$M$19,0),0)),"",VLOOKUP(CONCATENATE($F13,"_",BW$4),P1111_4,MATCH(BW$3,PAAC!$E$19:$M$19,0),0)),"")</f>
        <v/>
      </c>
      <c r="BX13" s="129" t="str">
        <f>+IFERROR(IF(ISBLANK(VLOOKUP(CONCATENATE($F13,"_",BX$4),P1111_4,MATCH(BX$3,PAAC!$E$19:$M$19,0),0)),"",VLOOKUP(CONCATENATE($F13,"_",BX$4),P1111_4,MATCH(BX$3,PAAC!$E$19:$M$19,0),0)),"")</f>
        <v/>
      </c>
      <c r="BY13" s="129" t="str">
        <f>+IFERROR(IF(ISBLANK(VLOOKUP(CONCATENATE($F13,"_",BY$4),P1111_4,MATCH(BY$3,PAAC!$E$19:$M$19,0),0)),"",VLOOKUP(CONCATENATE($F13,"_",BY$4),P1111_4,MATCH(BY$3,PAAC!$E$19:$M$19,0),0)),"")</f>
        <v/>
      </c>
      <c r="BZ13" s="129" t="str">
        <f>+IFERROR(IF(ISBLANK(VLOOKUP(CONCATENATE($F13,"_",BZ$4),P1111_4,MATCH(BZ$3,PAAC!$E$19:$M$19,0),0)),"",VLOOKUP(CONCATENATE($F13,"_",BZ$4),P1111_4,MATCH(BZ$3,PAAC!$E$19:$M$19,0),0)),"")</f>
        <v/>
      </c>
      <c r="CA13" s="129" t="str">
        <f>+IFERROR(IF(ISBLANK(VLOOKUP(CONCATENATE($F13,"_",CA$4),P1111_4,MATCH(CA$3,PAAC!$E$19:$M$19,0),0)),"",VLOOKUP(CONCATENATE($F13,"_",CA$4),P1111_4,MATCH(CA$3,PAAC!$E$19:$M$19,0),0)),"")</f>
        <v/>
      </c>
      <c r="CB13" s="129" t="str">
        <f>+IFERROR(IF(ISBLANK(VLOOKUP(CONCATENATE($F13,"_",CB$4),P1111_4,MATCH(CB$3,PAAC!$E$19:$M$19,0),0)),"",VLOOKUP(CONCATENATE($F13,"_",CB$4),P1111_4,MATCH(CB$3,PAAC!$E$19:$M$19,0),0)),"")</f>
        <v/>
      </c>
      <c r="CC13" s="129" t="str">
        <f>+IFERROR(IF(ISBLANK(VLOOKUP(CONCATENATE($F13,"_",CC$4),P1111_4,MATCH(CC$3,PAAC!$E$19:$M$19,0),0)),"",VLOOKUP(CONCATENATE($F13,"_",CC$4),P1111_4,MATCH(CC$3,PAAC!$E$19:$M$19,0),0)),"")</f>
        <v/>
      </c>
      <c r="CD13" s="129" t="str">
        <f t="shared" si="11"/>
        <v/>
      </c>
      <c r="CE13" s="129" t="str">
        <f t="shared" si="3"/>
        <v/>
      </c>
      <c r="CF13" s="129" t="str">
        <f t="shared" si="4"/>
        <v/>
      </c>
      <c r="CG13" s="129" t="str">
        <f t="shared" si="5"/>
        <v/>
      </c>
      <c r="CH13" s="129" t="str">
        <f t="shared" si="6"/>
        <v/>
      </c>
      <c r="CI13" t="str">
        <f t="shared" si="18"/>
        <v>No aplica</v>
      </c>
      <c r="CJ13" t="str">
        <f t="shared" si="18"/>
        <v>Cumplido</v>
      </c>
      <c r="CK13" t="str">
        <f t="shared" si="18"/>
        <v>Adecuado</v>
      </c>
      <c r="CL13" t="str">
        <f t="shared" si="18"/>
        <v>Coherente</v>
      </c>
      <c r="CM13" t="str">
        <f t="shared" si="18"/>
        <v>Concuerda</v>
      </c>
      <c r="CN13" t="str">
        <f t="shared" si="18"/>
        <v>Concuerda</v>
      </c>
      <c r="CO13" t="str">
        <f t="shared" si="18"/>
        <v>No aplica</v>
      </c>
      <c r="CP13" t="str">
        <f t="shared" si="18"/>
        <v>Adecuado</v>
      </c>
      <c r="CQ13" t="str">
        <f t="shared" si="18"/>
        <v>Oportuna</v>
      </c>
      <c r="CR13" t="str">
        <f t="shared" si="18"/>
        <v>Se podrían aportar a la evidencia del indicador los memorandos remisorios del seguimiento al PAAC que emiten las dependencias y en los cuales se relacionan los elementos que conforman la matriz de seguimiento.</v>
      </c>
      <c r="CS13" t="str">
        <f t="shared" si="19"/>
        <v>Fernando Escobar Mendoza</v>
      </c>
      <c r="CT13">
        <f t="shared" si="19"/>
        <v>0</v>
      </c>
      <c r="CU13">
        <f t="shared" si="19"/>
        <v>0</v>
      </c>
      <c r="CV13">
        <f t="shared" si="19"/>
        <v>0</v>
      </c>
      <c r="CW13">
        <f t="shared" si="19"/>
        <v>0</v>
      </c>
      <c r="CX13">
        <f t="shared" si="19"/>
        <v>0</v>
      </c>
      <c r="CY13">
        <f t="shared" si="19"/>
        <v>0</v>
      </c>
      <c r="CZ13">
        <f t="shared" si="19"/>
        <v>0</v>
      </c>
      <c r="DA13">
        <f t="shared" si="19"/>
        <v>0</v>
      </c>
      <c r="DB13">
        <f t="shared" si="19"/>
        <v>0</v>
      </c>
      <c r="DC13">
        <f t="shared" si="20"/>
        <v>0</v>
      </c>
      <c r="DD13">
        <f t="shared" si="20"/>
        <v>0</v>
      </c>
      <c r="DE13" t="e">
        <f t="shared" si="20"/>
        <v>#REF!</v>
      </c>
      <c r="DF13" t="e">
        <f t="shared" si="20"/>
        <v>#REF!</v>
      </c>
      <c r="DG13" t="e">
        <f t="shared" si="20"/>
        <v>#REF!</v>
      </c>
      <c r="DH13" t="e">
        <f t="shared" si="20"/>
        <v>#REF!</v>
      </c>
      <c r="DI13" t="e">
        <f t="shared" si="20"/>
        <v>#REF!</v>
      </c>
      <c r="DJ13" t="e">
        <f t="shared" si="20"/>
        <v>#REF!</v>
      </c>
      <c r="DK13" t="e">
        <f t="shared" si="20"/>
        <v>#REF!</v>
      </c>
      <c r="DL13" t="e">
        <f t="shared" si="20"/>
        <v>#REF!</v>
      </c>
      <c r="DM13" t="e">
        <f t="shared" si="21"/>
        <v>#REF!</v>
      </c>
      <c r="DN13" t="e">
        <f t="shared" si="21"/>
        <v>#REF!</v>
      </c>
      <c r="DO13" t="e">
        <f t="shared" si="21"/>
        <v>#REF!</v>
      </c>
      <c r="DP13" t="e">
        <f t="shared" si="21"/>
        <v>#REF!</v>
      </c>
      <c r="DQ13" t="e">
        <f t="shared" si="21"/>
        <v>#REF!</v>
      </c>
      <c r="DR13" t="e">
        <f t="shared" si="21"/>
        <v>#REF!</v>
      </c>
      <c r="DS13" t="e">
        <f t="shared" si="21"/>
        <v>#REF!</v>
      </c>
      <c r="DT13" t="e">
        <f t="shared" si="21"/>
        <v>#REF!</v>
      </c>
      <c r="DU13" t="e">
        <f t="shared" si="21"/>
        <v>#REF!</v>
      </c>
      <c r="DV13" t="e">
        <f t="shared" si="21"/>
        <v>#REF!</v>
      </c>
      <c r="DW13" t="e">
        <f t="shared" si="21"/>
        <v>#REF!</v>
      </c>
      <c r="DX13" t="e">
        <f t="shared" si="21"/>
        <v>#REF!</v>
      </c>
    </row>
    <row r="14" spans="1:129" x14ac:dyDescent="0.3">
      <c r="A14" s="423">
        <f t="shared" si="16"/>
        <v>153</v>
      </c>
      <c r="B14" t="str">
        <f t="shared" si="17"/>
        <v>1_Oficina Asesora de Jurídica</v>
      </c>
      <c r="C14">
        <f t="shared" si="8"/>
        <v>1</v>
      </c>
      <c r="D14" t="str">
        <f t="shared" si="0"/>
        <v>Oficina Asesora de Jurídica</v>
      </c>
      <c r="E14" t="str">
        <f t="shared" si="1"/>
        <v>oaj</v>
      </c>
      <c r="F14" s="208">
        <f>Oficinas!D12</f>
        <v>153</v>
      </c>
      <c r="G14" t="str">
        <f t="shared" si="2"/>
        <v>Constante</v>
      </c>
      <c r="H14" t="str">
        <f t="shared" si="2"/>
        <v>Porcentaje</v>
      </c>
      <c r="I14">
        <f t="shared" si="2"/>
        <v>1</v>
      </c>
      <c r="J14">
        <f t="shared" si="2"/>
        <v>1</v>
      </c>
      <c r="K14" t="str">
        <f>+IFERROR(VLOOKUP($F14,Oficinas_1,MATCH(K$5,Oficinas!$D$9:$V$9,0),0),"")</f>
        <v>Constante</v>
      </c>
      <c r="L14" t="str">
        <f>+IFERROR(VLOOKUP($F14,Oficinas_1,MATCH(L$5,Oficinas!$D$9:$V$9,0),0),"")</f>
        <v/>
      </c>
      <c r="M14">
        <f>+IFERROR(SUM(N14:P14),"")</f>
        <v>300</v>
      </c>
      <c r="N14">
        <f>+IFERROR(VLOOKUP($F14,Oficinas_1,MATCH(N$5,Oficinas!$D$9:$V$9,0),0),"")</f>
        <v>100</v>
      </c>
      <c r="O14">
        <f>+IFERROR(VLOOKUP($F14,Oficinas_1,MATCH(O$5,Oficinas!$D$9:$V$9,0),0),"")</f>
        <v>100</v>
      </c>
      <c r="P14">
        <f>+IFERROR(VLOOKUP($F14,Oficinas_1,MATCH(P$5,Oficinas!$D$9:$V$9,0),0),"")</f>
        <v>100</v>
      </c>
      <c r="Q14">
        <f>+IFERROR(VLOOKUP($F14,Oficinas_1,MATCH(Q$5,Oficinas!$D$9:$V$9,0),0),"")</f>
        <v>100</v>
      </c>
      <c r="R14">
        <f>+IFERROR(VLOOKUP($F14,Oficinas_1,MATCH(R$5,Oficinas!$D$9:$V$9,0),0),"")</f>
        <v>100</v>
      </c>
      <c r="S14">
        <f>+IFERROR(VLOOKUP($F14,Oficinas_1,MATCH(S$5,Oficinas!$D$9:$V$9,0),0),"")</f>
        <v>100</v>
      </c>
      <c r="T14">
        <f>+IFERROR(VLOOKUP($F14,Oficinas_1,MATCH(T$5,Oficinas!$D$9:$V$9,0),0),"")</f>
        <v>100</v>
      </c>
      <c r="U14" t="str">
        <f>+IFERROR(VLOOKUP($F14,Oficinas_1,MATCH(U$5,Oficinas!$D$9:$V$9,0),0),"")</f>
        <v>El indicador mide la cantidad de anteproyectos y proyectos de Acuerdo y proyectos de Ley  analizados por la Oficina Asesora de Jurídica frente a las solicitudes que   se presenten a la Dependencia.</v>
      </c>
      <c r="V14" t="str">
        <f>+IFERROR(VLOOKUP($F14,Oficinas_1,MATCH(V$5,Oficinas!$D$9:$V$9,0),0),"")</f>
        <v>Realizar el análisis jurídico de los anteproyectos, proyectos de Acuerdo y de Ley que sean solicitados a la Oficina Asesora de Jurídica con el fin de que la Secretaría General emita conceptos de viabilidad solamente a los que se ajusten a derecho</v>
      </c>
      <c r="W14" t="str">
        <f>+IFERROR(VLOOKUP($F14,Oficinas_1,MATCH(W$5,Oficinas!$D$9:$V$9,0),0),"")</f>
        <v>Respaldar jurídicamente a la Secretaría General para avalar solamente los proyectos de acuerdo y de ley que se ajusten al ordenamiento jurídico y que tengan relación con las funciones de la entidad.</v>
      </c>
      <c r="X14" t="str">
        <f>+IFERROR(VLOOKUP($F14,Oficinas_1,MATCH(X$5,Oficinas!$D$9:$V$9,0),0),"")</f>
        <v>Base de datos en excel</v>
      </c>
      <c r="Y14">
        <f>+IFERROR(IF(ISBLANK(VLOOKUP(CONCATENATE($F14,"_",Y$4),Oficinas_2,MATCH(Y$3,Oficinas!$F$26:$O$26,0),0)),"",VLOOKUP(CONCATENATE($F14,"_",Y$4),Oficinas_2,MATCH(Y$3,Oficinas!$F$26:$O$26,0),0)),"")</f>
        <v>8</v>
      </c>
      <c r="Z14">
        <f>+IFERROR(IF(ISBLANK(VLOOKUP(CONCATENATE($F14,"_",Z$4),Oficinas_2,MATCH(Z$3,Oficinas!$F$26:$O$26,0),0)),"",VLOOKUP(CONCATENATE($F14,"_",Z$4),Oficinas_2,MATCH(Z$3,Oficinas!$F$26:$O$26,0),0)),"")</f>
        <v>8</v>
      </c>
      <c r="AA14" t="str">
        <f>+IFERROR(IF(ISBLANK(VLOOKUP(CONCATENATE($F14,"_",AA$4),Oficinas_2,MATCH(AA$3,Oficinas!$F$26:$O$26,0),0)),"",VLOOKUP(CONCATENATE($F14,"_",AA$4),Oficinas_2,MATCH(AA$3,Oficinas!$F$26:$O$26,0),0)),"")</f>
        <v xml:space="preserve">Durante el mes de enero fue emitido el análisis jurídico de ocho (8)  proyectos de Acuerdo de los 8 solicitados a la Oficina Asesora de Jurídica, dando cumplimiento al 100% de lo solicitado. </v>
      </c>
      <c r="AB14" t="str">
        <f>+IFERROR(IF(ISBLANK(VLOOKUP(CONCATENATE($F14,"_",AB$4),Oficinas_2,MATCH(AB$3,Oficinas!$F$26:$O$26,0),0)),"",VLOOKUP(CONCATENATE($F14,"_",AB$4),Oficinas_2,MATCH(AB$3,Oficinas!$F$26:$O$26,0),0)),"")</f>
        <v xml:space="preserve">Durante este mes  no se presentaron retrasos o dificultades para la expedición del análisis jurídico de los  proyectos de acuerdo  solicitados a la OAJ </v>
      </c>
      <c r="AC14" t="str">
        <f>+IFERROR(IF(ISBLANK(VLOOKUP(CONCATENATE($F14,"_",AC$4),Oficinas_2,MATCH(AC$3,Oficinas!$F$26:$O$26,0),0)),"",VLOOKUP(CONCATENATE($F14,"_",AC$4),Oficinas_2,MATCH(AC$3,Oficinas!$F$26:$O$26,0),0)),"")</f>
        <v xml:space="preserve">Respaldar jurídicamente la viabilidad juridica o no de los proyectos de acuerdo o de Ley donde la Secretaría General tenga interes y se enmarque dentro de sus funciones. </v>
      </c>
      <c r="AD14">
        <f>+IFERROR(IF(ISBLANK(VLOOKUP(CONCATENATE($F14,"_",AD$4),Oficinas_2,MATCH(AD$3,Oficinas!$F$26:$O$26,0),0)),"",VLOOKUP(CONCATENATE($F14,"_",AD$4),Oficinas_2,MATCH(AD$3,Oficinas!$F$26:$O$26,0),0)),"")</f>
        <v>10</v>
      </c>
      <c r="AE14">
        <f>+IFERROR(IF(ISBLANK(VLOOKUP(CONCATENATE($F14,"_",AE$4),Oficinas_2,MATCH(AE$3,Oficinas!$F$26:$O$26,0),0)),"",VLOOKUP(CONCATENATE($F14,"_",AE$4),Oficinas_2,MATCH(AE$3,Oficinas!$F$26:$O$26,0),0)),"")</f>
        <v>10</v>
      </c>
      <c r="AF14" t="str">
        <f>+IFERROR(IF(ISBLANK(VLOOKUP(CONCATENATE($F14,"_",AF$4),Oficinas_2,MATCH(AF$3,Oficinas!$F$26:$O$26,0),0)),"",VLOOKUP(CONCATENATE($F14,"_",AF$4),Oficinas_2,MATCH(AF$3,Oficinas!$F$26:$O$26,0),0)),"")</f>
        <v xml:space="preserve">Durante el mes de febrero fue emitido el análisis jurídico de diez (10)  proyectos de Acuerdo de los 10 solicitados a la Oficina Asesora de Jurídica, dando cumplimiento al 100% de lo solicitado. </v>
      </c>
      <c r="AG14" t="str">
        <f>+IFERROR(IF(ISBLANK(VLOOKUP(CONCATENATE($F14,"_",AG$4),Oficinas_2,MATCH(AG$3,Oficinas!$F$26:$O$26,0),0)),"",VLOOKUP(CONCATENATE($F14,"_",AG$4),Oficinas_2,MATCH(AG$3,Oficinas!$F$26:$O$26,0),0)),"")</f>
        <v xml:space="preserve">Durante este mes  no se presentaron retrasos o dificultades para la expedición del análisis jurídico de los  proyectos de acuerdo  solicitados a la OAJ </v>
      </c>
      <c r="AH14" t="str">
        <f>+IFERROR(IF(ISBLANK(VLOOKUP(CONCATENATE($F14,"_",AH$4),Oficinas_2,MATCH(AH$3,Oficinas!$F$26:$O$26,0),0)),"",VLOOKUP(CONCATENATE($F14,"_",AH$4),Oficinas_2,MATCH(AH$3,Oficinas!$F$26:$O$26,0),0)),"")</f>
        <v xml:space="preserve">Respaldar jurídicamente la viabilidad juridica o no de los proyectos de acuerdo o de Ley donde la Secretaría General tenga interes y se enmarque dentro de sus funciones. </v>
      </c>
      <c r="AI14">
        <f>+IFERROR(IF(ISBLANK(VLOOKUP(CONCATENATE($F14,"_",AI$4),Oficinas_2,MATCH(AI$3,Oficinas!$F$26:$O$26,0),0)),"",VLOOKUP(CONCATENATE($F14,"_",AI$4),Oficinas_2,MATCH(AI$3,Oficinas!$F$26:$O$26,0),0)),"")</f>
        <v>7</v>
      </c>
      <c r="AJ14">
        <f>+IFERROR(IF(ISBLANK(VLOOKUP(CONCATENATE($F14,"_",AJ$4),Oficinas_2,MATCH(AJ$3,Oficinas!$F$26:$O$26,0),0)),"",VLOOKUP(CONCATENATE($F14,"_",AJ$4),Oficinas_2,MATCH(AJ$3,Oficinas!$F$26:$O$26,0),0)),"")</f>
        <v>7</v>
      </c>
      <c r="AK14" t="str">
        <f>+IFERROR(IF(ISBLANK(VLOOKUP(CONCATENATE($F14,"_",AK$4),Oficinas_2,MATCH(AK$3,Oficinas!$F$26:$O$26,0),0)),"",VLOOKUP(CONCATENATE($F14,"_",AK$4),Oficinas_2,MATCH(AK$3,Oficinas!$F$26:$O$26,0),0)),"")</f>
        <v xml:space="preserve">Durante el mes de marzo fue emitido el análisis jurídico de siete (7)  proyectos de Acuerdo de los 7 solicitados a la Oficina Asesora de Jurídica, dando cumplimiento al 100% de lo solicitado.  </v>
      </c>
      <c r="AL14" t="str">
        <f>+IFERROR(IF(ISBLANK(VLOOKUP(CONCATENATE($F14,"_",AL$4),Oficinas_2,MATCH(AL$3,Oficinas!$F$26:$O$26,0),0)),"",VLOOKUP(CONCATENATE($F14,"_",AL$4),Oficinas_2,MATCH(AL$3,Oficinas!$F$26:$O$26,0),0)),"")</f>
        <v xml:space="preserve">Durante este mes  no se presentaron retrasos o dificultades para la expedición del análisis jurídico de los  proyectos de acuerdo  solicitados a la OAJ </v>
      </c>
      <c r="AM14" t="str">
        <f>+IFERROR(IF(ISBLANK(VLOOKUP(CONCATENATE($F14,"_",AM$4),Oficinas_2,MATCH(AM$3,Oficinas!$F$26:$O$26,0),0)),"",VLOOKUP(CONCATENATE($F14,"_",AM$4),Oficinas_2,MATCH(AM$3,Oficinas!$F$26:$O$26,0),0)),"")</f>
        <v xml:space="preserve">Respaldar jurídicamente la viabilidad juridica o no de los proyectos de acuerdo o de Ley donde la Secretaría General tenga interes y se enmarque dentro de sus funciones. </v>
      </c>
      <c r="AN14">
        <f>+IFERROR(IF(ISBLANK(VLOOKUP(CONCATENATE($F14,"_",AN$4),Oficinas_2,MATCH(AN$3,Oficinas!$F$26:$O$26,0),0)),"",VLOOKUP(CONCATENATE($F14,"_",AN$4),Oficinas_2,MATCH(AN$3,Oficinas!$F$26:$O$26,0),0)),"")</f>
        <v>3</v>
      </c>
      <c r="AO14">
        <f>+IFERROR(IF(ISBLANK(VLOOKUP(CONCATENATE($F14,"_",AO$4),Oficinas_2,MATCH(AO$3,Oficinas!$F$26:$O$26,0),0)),"",VLOOKUP(CONCATENATE($F14,"_",AO$4),Oficinas_2,MATCH(AO$3,Oficinas!$F$26:$O$26,0),0)),"")</f>
        <v>3</v>
      </c>
      <c r="AP14" t="str">
        <f>+IFERROR(IF(ISBLANK(VLOOKUP(CONCATENATE($F14,"_",AP$4),Oficinas_2,MATCH(AP$3,Oficinas!$F$26:$O$26,0),0)),"",VLOOKUP(CONCATENATE($F14,"_",AP$4),Oficinas_2,MATCH(AP$3,Oficinas!$F$26:$O$26,0),0)),"")</f>
        <v xml:space="preserve">Durante el mes de abril fue emitido el análisis jurídico de dos (2) proyectos de ley y un (1)  proyecto de Acuerdo, de los 3 productos solicitados a la Oficina Asesora de Jurídica, dando cumplimiento al 100% de lo solicitado.  </v>
      </c>
      <c r="AQ14" t="str">
        <f>+IFERROR(IF(ISBLANK(VLOOKUP(CONCATENATE($F14,"_",AQ$4),Oficinas_2,MATCH(AQ$3,Oficinas!$F$26:$O$26,0),0)),"",VLOOKUP(CONCATENATE($F14,"_",AQ$4),Oficinas_2,MATCH(AQ$3,Oficinas!$F$26:$O$26,0),0)),"")</f>
        <v xml:space="preserve">Durante este mes  no se presentaron retrasos o dificultades para la expedición del análisis jurídico de los  proyectos de acuerdo  solicitados a la OAJ </v>
      </c>
      <c r="AR14" t="str">
        <f>+IFERROR(IF(ISBLANK(VLOOKUP(CONCATENATE($F14,"_",AR$4),Oficinas_2,MATCH(AR$3,Oficinas!$F$26:$O$26,0),0)),"",VLOOKUP(CONCATENATE($F14,"_",AR$4),Oficinas_2,MATCH(AR$3,Oficinas!$F$26:$O$26,0),0)),"")</f>
        <v xml:space="preserve">Respaldar jurídicamente la viabilidad juridica o no de los proyectos de acuerdo o de Ley donde la Secretaría General tenga interes y se enmarque dentro de sus funciones. </v>
      </c>
      <c r="AS14">
        <f>+IFERROR(IF(ISBLANK(VLOOKUP(CONCATENATE($F14,"_",AS$4),Oficinas_2,MATCH(AS$3,Oficinas!$F$26:$O$26,0),0)),"",VLOOKUP(CONCATENATE($F14,"_",AS$4),Oficinas_2,MATCH(AS$3,Oficinas!$F$26:$O$26,0),0)),"")</f>
        <v>2</v>
      </c>
      <c r="AT14">
        <f>+IFERROR(IF(ISBLANK(VLOOKUP(CONCATENATE($F14,"_",AT$4),Oficinas_2,MATCH(AT$3,Oficinas!$F$26:$O$26,0),0)),"",VLOOKUP(CONCATENATE($F14,"_",AT$4),Oficinas_2,MATCH(AT$3,Oficinas!$F$26:$O$26,0),0)),"")</f>
        <v>2</v>
      </c>
      <c r="AU14" t="str">
        <f>+IFERROR(IF(ISBLANK(VLOOKUP(CONCATENATE($F14,"_",AU$4),Oficinas_2,MATCH(AU$3,Oficinas!$F$26:$O$26,0),0)),"",VLOOKUP(CONCATENATE($F14,"_",AU$4),Oficinas_2,MATCH(AU$3,Oficinas!$F$26:$O$26,0),0)),"")</f>
        <v>Durante el mes de mayol fue emitido el análisis jurídico de dos (2)  proyectos de Acuerdo de los 2 solicitados a la Oficina Asesora de Jurídica, dando cumplimiento al 100% de lo solicitado</v>
      </c>
      <c r="AV14" t="str">
        <f>+IFERROR(IF(ISBLANK(VLOOKUP(CONCATENATE($F14,"_",AV$4),Oficinas_2,MATCH(AV$3,Oficinas!$F$26:$O$26,0),0)),"",VLOOKUP(CONCATENATE($F14,"_",AV$4),Oficinas_2,MATCH(AV$3,Oficinas!$F$26:$O$26,0),0)),"")</f>
        <v xml:space="preserve">Durante este mes  no se presentaron retrasos o dificultades para la expedición del análisis jurídico de los  proyectos de acuerdo  solicitados a la OAJ </v>
      </c>
      <c r="AW14" t="str">
        <f>+IFERROR(IF(ISBLANK(VLOOKUP(CONCATENATE($F14,"_",AW$4),Oficinas_2,MATCH(AW$3,Oficinas!$F$26:$O$26,0),0)),"",VLOOKUP(CONCATENATE($F14,"_",AW$4),Oficinas_2,MATCH(AW$3,Oficinas!$F$26:$O$26,0),0)),"")</f>
        <v xml:space="preserve">Respaldar jurídicamente la viabilidad juridica o no de los proyectos de acuerdo o de Ley donde la Secretaría General tenga interes y se enmarque dentro de sus funciones. </v>
      </c>
      <c r="AX14">
        <f>+IFERROR(IF(ISBLANK(VLOOKUP(CONCATENATE($F14,"_",AX$4),Oficinas_2,MATCH(AX$3,Oficinas!$F$26:$O$26,0),0)),"",VLOOKUP(CONCATENATE($F14,"_",AX$4),Oficinas_2,MATCH(AX$3,Oficinas!$F$26:$O$26,0),0)),"")</f>
        <v>3</v>
      </c>
      <c r="AY14">
        <f>+IFERROR(IF(ISBLANK(VLOOKUP(CONCATENATE($F14,"_",AY$4),Oficinas_2,MATCH(AY$3,Oficinas!$F$26:$O$26,0),0)),"",VLOOKUP(CONCATENATE($F14,"_",AY$4),Oficinas_2,MATCH(AY$3,Oficinas!$F$26:$O$26,0),0)),"")</f>
        <v>3</v>
      </c>
      <c r="AZ14" t="str">
        <f>+IFERROR(IF(ISBLANK(VLOOKUP(CONCATENATE($F14,"_",AZ$4),Oficinas_2,MATCH(AZ$3,Oficinas!$F$26:$O$26,0),0)),"",VLOOKUP(CONCATENATE($F14,"_",AZ$4),Oficinas_2,MATCH(AZ$3,Oficinas!$F$26:$O$26,0),0)),"")</f>
        <v>Durante el mes de junio fue emitido el concepto jurídico de un Proyecto de Ley y dos Proyectos de acuerdo solcitados al a Oficina Asesora de Jurídica, para un total de 3 productos</v>
      </c>
      <c r="BA14" t="str">
        <f>+IFERROR(IF(ISBLANK(VLOOKUP(CONCATENATE($F14,"_",BA$4),Oficinas_2,MATCH(BA$3,Oficinas!$F$26:$O$26,0),0)),"",VLOOKUP(CONCATENATE($F14,"_",BA$4),Oficinas_2,MATCH(BA$3,Oficinas!$F$26:$O$26,0),0)),"")</f>
        <v xml:space="preserve">Durante este mes no se presentaron retrasos o dificultades para el cumplimiento de este indicador </v>
      </c>
      <c r="BB14" t="str">
        <f>+IFERROR(IF(ISBLANK(VLOOKUP(CONCATENATE($F14,"_",BB$4),Oficinas_2,MATCH(BB$3,Oficinas!$F$26:$O$26,0),0)),"",VLOOKUP(CONCATENATE($F14,"_",BB$4),Oficinas_2,MATCH(BB$3,Oficinas!$F$26:$O$26,0),0)),"")</f>
        <v>Respaldar jurídicamente la viabilidad juridica o no de los proyectos de acuerdo o de Ley donde la Secretaría General tenga interes y se enmarque dentro de sus funciones</v>
      </c>
      <c r="BC14">
        <f t="shared" si="10"/>
        <v>33</v>
      </c>
      <c r="BD14">
        <f t="shared" si="10"/>
        <v>33</v>
      </c>
      <c r="BE14" s="129" t="str">
        <f>+IFERROR(IF(ISBLANK(VLOOKUP(CONCATENATE($F14,"_",BE$4),P1125_4,MATCH(BE$3,PAAC!$E$19:$M$19,0),0)),"",VLOOKUP(CONCATENATE($F14,"_",BE$4),P1125_4,MATCH(BE$3,PAAC!$E$19:$M$19,0),0)),"")</f>
        <v/>
      </c>
      <c r="BF14" s="129" t="str">
        <f>+IFERROR(IF(ISBLANK(VLOOKUP(CONCATENATE($F14,"_",BF$4),P1125_4,MATCH(BF$3,PAAC!$E$19:$M$19,0),0)),"",VLOOKUP(CONCATENATE($F14,"_",BF$4),P1125_4,MATCH(BF$3,PAAC!$E$19:$M$19,0),0)),"")</f>
        <v/>
      </c>
      <c r="BG14" s="129" t="str">
        <f>+IFERROR(IF(ISBLANK(VLOOKUP(CONCATENATE($F14,"_",BG$4),P1125_4,MATCH(BG$3,PAAC!$E$19:$M$19,0),0)),"",VLOOKUP(CONCATENATE($F14,"_",BG$4),P1125_4,MATCH(BG$3,PAAC!$E$19:$M$19,0),0)),"")</f>
        <v/>
      </c>
      <c r="BH14" s="129" t="str">
        <f>+IFERROR(IF(ISBLANK(VLOOKUP(CONCATENATE($F14,"_",BH$4),P1125_4,MATCH(BH$3,PAAC!$E$19:$M$19,0),0)),"",VLOOKUP(CONCATENATE($F14,"_",BH$4),P1125_4,MATCH(BH$3,PAAC!$E$19:$M$19,0),0)),"")</f>
        <v/>
      </c>
      <c r="BI14" s="129" t="str">
        <f>+IFERROR(IF(ISBLANK(VLOOKUP(CONCATENATE($F14,"_",BI$4),P1125_4,MATCH(BI$3,PAAC!$E$19:$M$19,0),0)),"",VLOOKUP(CONCATENATE($F14,"_",BI$4),P1125_4,MATCH(BI$3,PAAC!$E$19:$M$19,0),0)),"")</f>
        <v/>
      </c>
      <c r="BJ14" s="129" t="str">
        <f>+IFERROR(IF(ISBLANK(VLOOKUP(CONCATENATE($F14,"_",BJ$4),P1125_4,MATCH(BJ$3,PAAC!$E$19:$M$19,0),0)),"",VLOOKUP(CONCATENATE($F14,"_",BJ$4),P1125_4,MATCH(BJ$3,PAAC!$E$19:$M$19,0),0)),"")</f>
        <v/>
      </c>
      <c r="BK14" s="129" t="str">
        <f>+IFERROR(IF(ISBLANK(VLOOKUP(CONCATENATE($F14,"_",BK$4),P1125_4,MATCH(BK$3,PAAC!$E$19:$M$19,0),0)),"",VLOOKUP(CONCATENATE($F14,"_",BK$4),P1125_4,MATCH(BK$3,PAAC!$E$19:$M$19,0),0)),"")</f>
        <v/>
      </c>
      <c r="BL14" s="129" t="str">
        <f>+IFERROR(IF(ISBLANK(VLOOKUP(CONCATENATE($F14,"_",BL$4),P1125_4,MATCH(BL$3,PAAC!$E$19:$M$19,0),0)),"",VLOOKUP(CONCATENATE($F14,"_",BL$4),P1125_4,MATCH(BL$3,PAAC!$E$19:$M$19,0),0)),"")</f>
        <v/>
      </c>
      <c r="BM14" s="129" t="str">
        <f>+IFERROR(IF(ISBLANK(VLOOKUP(CONCATENATE($F14,"_",BM$4),P1125_4,MATCH(BM$3,PAAC!$E$19:$M$19,0),0)),"",VLOOKUP(CONCATENATE($F14,"_",BM$4),P1125_4,MATCH(BM$3,PAAC!$E$19:$M$19,0),0)),"")</f>
        <v/>
      </c>
      <c r="BN14" s="129" t="str">
        <f>+IFERROR(IF(ISBLANK(VLOOKUP(CONCATENATE($F14,"_",BN$4),P1125_4,MATCH(BN$3,PAAC!$E$19:$M$19,0),0)),"",VLOOKUP(CONCATENATE($F14,"_",BN$4),P1125_4,MATCH(BN$3,PAAC!$E$19:$M$19,0),0)),"")</f>
        <v/>
      </c>
      <c r="BO14" s="129" t="str">
        <f>+IFERROR(IF(ISBLANK(VLOOKUP(CONCATENATE($F14,"_",BO$4),P1125_4,MATCH(BO$3,PAAC!$E$19:$M$19,0),0)),"",VLOOKUP(CONCATENATE($F14,"_",BO$4),P1125_4,MATCH(BO$3,PAAC!$E$19:$M$19,0),0)),"")</f>
        <v/>
      </c>
      <c r="BP14" s="129" t="str">
        <f>+IFERROR(IF(ISBLANK(VLOOKUP(CONCATENATE($F14,"_",BP$4),P1125_4,MATCH(BP$3,PAAC!$E$19:$M$19,0),0)),"",VLOOKUP(CONCATENATE($F14,"_",BP$4),P1125_4,MATCH(BP$3,PAAC!$E$19:$M$19,0),0)),"")</f>
        <v/>
      </c>
      <c r="BQ14" s="129" t="str">
        <f>+IFERROR(IF(ISBLANK(VLOOKUP(CONCATENATE($F14,"_",BQ$4),P1125_4,MATCH(BQ$3,PAAC!$E$19:$M$19,0),0)),"",VLOOKUP(CONCATENATE($F14,"_",BQ$4),P1125_4,MATCH(BQ$3,PAAC!$E$19:$M$19,0),0)),"")</f>
        <v/>
      </c>
      <c r="BR14" s="129" t="str">
        <f>+IFERROR(IF(ISBLANK(VLOOKUP(CONCATENATE($F14,"_",BR$4),P1125_4,MATCH(BR$3,PAAC!$E$19:$M$19,0),0)),"",VLOOKUP(CONCATENATE($F14,"_",BR$4),P1125_4,MATCH(BR$3,PAAC!$E$19:$M$19,0),0)),"")</f>
        <v/>
      </c>
      <c r="BS14" s="129" t="str">
        <f>+IFERROR(IF(ISBLANK(VLOOKUP(CONCATENATE($F14,"_",BS$4),P1125_4,MATCH(BS$3,PAAC!$E$19:$M$19,0),0)),"",VLOOKUP(CONCATENATE($F14,"_",BS$4),P1125_4,MATCH(BS$3,PAAC!$E$19:$M$19,0),0)),"")</f>
        <v/>
      </c>
      <c r="BT14" s="129" t="str">
        <f>+IFERROR(IF(ISBLANK(VLOOKUP(CONCATENATE($F14,"_",BT$4),P1125_4,MATCH(BT$3,PAAC!$E$19:$M$19,0),0)),"",VLOOKUP(CONCATENATE($F14,"_",BT$4),P1125_4,MATCH(BT$3,PAAC!$E$19:$M$19,0),0)),"")</f>
        <v/>
      </c>
      <c r="BU14" s="129" t="str">
        <f>+IFERROR(IF(ISBLANK(VLOOKUP(CONCATENATE($F14,"_",BU$4),P1125_4,MATCH(BU$3,PAAC!$E$19:$M$19,0),0)),"",VLOOKUP(CONCATENATE($F14,"_",BU$4),P1125_4,MATCH(BU$3,PAAC!$E$19:$M$19,0),0)),"")</f>
        <v/>
      </c>
      <c r="BV14" s="129" t="str">
        <f>+IFERROR(IF(ISBLANK(VLOOKUP(CONCATENATE($F14,"_",BV$4),P1125_4,MATCH(BV$3,PAAC!$E$19:$M$19,0),0)),"",VLOOKUP(CONCATENATE($F14,"_",BV$4),P1125_4,MATCH(BV$3,PAAC!$E$19:$M$19,0),0)),"")</f>
        <v/>
      </c>
      <c r="BW14" s="129" t="str">
        <f>+IFERROR(IF(ISBLANK(VLOOKUP(CONCATENATE($F14,"_",BW$4),P1125_4,MATCH(BW$3,PAAC!$E$19:$M$19,0),0)),"",VLOOKUP(CONCATENATE($F14,"_",BW$4),P1125_4,MATCH(BW$3,PAAC!$E$19:$M$19,0),0)),"")</f>
        <v/>
      </c>
      <c r="BX14" s="129" t="str">
        <f>+IFERROR(IF(ISBLANK(VLOOKUP(CONCATENATE($F14,"_",BX$4),P1125_4,MATCH(BX$3,PAAC!$E$19:$M$19,0),0)),"",VLOOKUP(CONCATENATE($F14,"_",BX$4),P1125_4,MATCH(BX$3,PAAC!$E$19:$M$19,0),0)),"")</f>
        <v/>
      </c>
      <c r="BY14" s="129" t="str">
        <f>+IFERROR(IF(ISBLANK(VLOOKUP(CONCATENATE($F14,"_",BY$4),P1125_4,MATCH(BY$3,PAAC!$E$19:$M$19,0),0)),"",VLOOKUP(CONCATENATE($F14,"_",BY$4),P1125_4,MATCH(BY$3,PAAC!$E$19:$M$19,0),0)),"")</f>
        <v/>
      </c>
      <c r="BZ14" s="129" t="str">
        <f>+IFERROR(IF(ISBLANK(VLOOKUP(CONCATENATE($F14,"_",BZ$4),P1125_4,MATCH(BZ$3,PAAC!$E$19:$M$19,0),0)),"",VLOOKUP(CONCATENATE($F14,"_",BZ$4),P1125_4,MATCH(BZ$3,PAAC!$E$19:$M$19,0),0)),"")</f>
        <v/>
      </c>
      <c r="CA14" s="129" t="str">
        <f>+IFERROR(IF(ISBLANK(VLOOKUP(CONCATENATE($F14,"_",CA$4),P1125_4,MATCH(CA$3,PAAC!$E$19:$M$19,0),0)),"",VLOOKUP(CONCATENATE($F14,"_",CA$4),P1125_4,MATCH(CA$3,PAAC!$E$19:$M$19,0),0)),"")</f>
        <v/>
      </c>
      <c r="CB14" s="129" t="str">
        <f>+IFERROR(IF(ISBLANK(VLOOKUP(CONCATENATE($F14,"_",CB$4),P1125_4,MATCH(CB$3,PAAC!$E$19:$M$19,0),0)),"",VLOOKUP(CONCATENATE($F14,"_",CB$4),P1125_4,MATCH(CB$3,PAAC!$E$19:$M$19,0),0)),"")</f>
        <v/>
      </c>
      <c r="CC14" s="129" t="str">
        <f>+IFERROR(IF(ISBLANK(VLOOKUP(CONCATENATE($F14,"_",CC$4),P1125_4,MATCH(CC$3,PAAC!$E$19:$M$19,0),0)),"",VLOOKUP(CONCATENATE($F14,"_",CC$4),P1125_4,MATCH(CC$3,PAAC!$E$19:$M$19,0),0)),"")</f>
        <v/>
      </c>
      <c r="CD14" s="129" t="str">
        <f t="shared" si="11"/>
        <v/>
      </c>
      <c r="CE14" s="129" t="str">
        <f t="shared" si="3"/>
        <v/>
      </c>
      <c r="CF14" s="129" t="str">
        <f t="shared" si="4"/>
        <v/>
      </c>
      <c r="CG14" s="129" t="str">
        <f t="shared" si="5"/>
        <v/>
      </c>
      <c r="CH14" s="129" t="str">
        <f t="shared" si="6"/>
        <v/>
      </c>
      <c r="CI14" t="str">
        <f t="shared" si="18"/>
        <v>No aplica</v>
      </c>
      <c r="CJ14" t="str">
        <f t="shared" si="18"/>
        <v>Cumplido</v>
      </c>
      <c r="CK14" t="str">
        <f t="shared" si="18"/>
        <v>Adecuado</v>
      </c>
      <c r="CL14" t="str">
        <f t="shared" si="18"/>
        <v>Coherente</v>
      </c>
      <c r="CM14" t="str">
        <f t="shared" si="18"/>
        <v>Concuerda</v>
      </c>
      <c r="CN14" t="str">
        <f t="shared" si="18"/>
        <v>Concuerda</v>
      </c>
      <c r="CO14" t="str">
        <f t="shared" si="18"/>
        <v>No aplica</v>
      </c>
      <c r="CP14" t="str">
        <f t="shared" si="18"/>
        <v>Adecuado</v>
      </c>
      <c r="CQ14" t="str">
        <f t="shared" si="18"/>
        <v>Oportuna</v>
      </c>
      <c r="CR14" t="str">
        <f t="shared" si="18"/>
        <v xml:space="preserve">El reporte del indicador es adecuado en términos de coherencia y consistencia. El indicador presenta un cumplimiento del 100% </v>
      </c>
      <c r="CS14" t="str">
        <f t="shared" si="19"/>
        <v>Jorge Ruiz</v>
      </c>
      <c r="CT14" t="str">
        <f t="shared" si="19"/>
        <v>Cumple</v>
      </c>
      <c r="CU14" t="str">
        <f t="shared" si="19"/>
        <v>Cumplido</v>
      </c>
      <c r="CV14" t="str">
        <f t="shared" si="19"/>
        <v>Adecuado</v>
      </c>
      <c r="CW14" t="str">
        <f t="shared" si="19"/>
        <v>Coherente</v>
      </c>
      <c r="CX14" t="str">
        <f t="shared" si="19"/>
        <v>Concuerda</v>
      </c>
      <c r="CY14" t="str">
        <f t="shared" si="19"/>
        <v>Concuerda</v>
      </c>
      <c r="CZ14" t="str">
        <f t="shared" si="19"/>
        <v>No aplica</v>
      </c>
      <c r="DA14" t="str">
        <f t="shared" si="19"/>
        <v>Adecuado</v>
      </c>
      <c r="DB14" t="str">
        <f t="shared" si="19"/>
        <v>Oportuna</v>
      </c>
      <c r="DC14" t="str">
        <f t="shared" si="20"/>
        <v xml:space="preserve">El reporte del indicador es adecuado en términos de coherencia y consistencia. El indicador presenta un cumplimiento del 100% </v>
      </c>
      <c r="DD14" t="str">
        <f t="shared" si="20"/>
        <v>Jorge Ruiz</v>
      </c>
      <c r="DE14" t="e">
        <f t="shared" si="20"/>
        <v>#REF!</v>
      </c>
      <c r="DF14" t="e">
        <f t="shared" si="20"/>
        <v>#REF!</v>
      </c>
      <c r="DG14" t="e">
        <f t="shared" si="20"/>
        <v>#REF!</v>
      </c>
      <c r="DH14" t="e">
        <f t="shared" si="20"/>
        <v>#REF!</v>
      </c>
      <c r="DI14" t="e">
        <f t="shared" si="20"/>
        <v>#REF!</v>
      </c>
      <c r="DJ14" t="e">
        <f t="shared" si="20"/>
        <v>#REF!</v>
      </c>
      <c r="DK14" t="e">
        <f t="shared" si="20"/>
        <v>#REF!</v>
      </c>
      <c r="DL14" t="e">
        <f t="shared" si="20"/>
        <v>#REF!</v>
      </c>
      <c r="DM14" t="e">
        <f t="shared" si="21"/>
        <v>#REF!</v>
      </c>
      <c r="DN14" t="e">
        <f t="shared" si="21"/>
        <v>#REF!</v>
      </c>
      <c r="DO14" t="e">
        <f t="shared" si="21"/>
        <v>#REF!</v>
      </c>
      <c r="DP14" t="e">
        <f t="shared" si="21"/>
        <v>#REF!</v>
      </c>
      <c r="DQ14" t="e">
        <f t="shared" si="21"/>
        <v>#REF!</v>
      </c>
      <c r="DR14" t="e">
        <f t="shared" si="21"/>
        <v>#REF!</v>
      </c>
      <c r="DS14" t="e">
        <f t="shared" si="21"/>
        <v>#REF!</v>
      </c>
      <c r="DT14" t="e">
        <f t="shared" si="21"/>
        <v>#REF!</v>
      </c>
      <c r="DU14" t="e">
        <f t="shared" si="21"/>
        <v>#REF!</v>
      </c>
      <c r="DV14" t="e">
        <f t="shared" si="21"/>
        <v>#REF!</v>
      </c>
      <c r="DW14" t="e">
        <f t="shared" si="21"/>
        <v>#REF!</v>
      </c>
      <c r="DX14" t="e">
        <f t="shared" si="21"/>
        <v>#REF!</v>
      </c>
    </row>
    <row r="15" spans="1:129" x14ac:dyDescent="0.3">
      <c r="A15" s="423">
        <f t="shared" si="16"/>
        <v>154</v>
      </c>
      <c r="B15" t="str">
        <f t="shared" si="17"/>
        <v>2_Oficina Asesora de Jurídica</v>
      </c>
      <c r="C15">
        <f t="shared" si="8"/>
        <v>2</v>
      </c>
      <c r="D15" t="str">
        <f t="shared" si="0"/>
        <v>Oficina Asesora de Jurídica</v>
      </c>
      <c r="E15" t="str">
        <f t="shared" si="1"/>
        <v>oaj</v>
      </c>
      <c r="F15" s="208">
        <f>Oficinas!D13</f>
        <v>154</v>
      </c>
      <c r="G15" t="str">
        <f t="shared" si="2"/>
        <v>Constante</v>
      </c>
      <c r="H15" t="str">
        <f t="shared" si="2"/>
        <v>Porcentaje</v>
      </c>
      <c r="I15">
        <f t="shared" si="2"/>
        <v>1</v>
      </c>
      <c r="J15">
        <f t="shared" si="2"/>
        <v>1</v>
      </c>
      <c r="K15" t="str">
        <f>+IFERROR(VLOOKUP($F15,Oficinas_1,MATCH(K$5,Oficinas!$D$9:$V$9,0),0),"")</f>
        <v>Constante</v>
      </c>
      <c r="L15" t="str">
        <f>+IFERROR(VLOOKUP($F15,Oficinas_1,MATCH(L$5,Oficinas!$D$9:$V$9,0),0),"")</f>
        <v/>
      </c>
      <c r="M15">
        <f>+IFERROR(SUM(N15:P15),"")</f>
        <v>300</v>
      </c>
      <c r="N15">
        <f>+IFERROR(VLOOKUP($F15,Oficinas_1,MATCH(N$5,Oficinas!$D$9:$V$9,0),0),"")</f>
        <v>100</v>
      </c>
      <c r="O15">
        <f>+IFERROR(VLOOKUP($F15,Oficinas_1,MATCH(O$5,Oficinas!$D$9:$V$9,0),0),"")</f>
        <v>100</v>
      </c>
      <c r="P15">
        <f>+IFERROR(VLOOKUP($F15,Oficinas_1,MATCH(P$5,Oficinas!$D$9:$V$9,0),0),"")</f>
        <v>100</v>
      </c>
      <c r="Q15">
        <f>+IFERROR(VLOOKUP($F15,Oficinas_1,MATCH(Q$5,Oficinas!$D$9:$V$9,0),0),"")</f>
        <v>100</v>
      </c>
      <c r="R15">
        <f>+IFERROR(VLOOKUP($F15,Oficinas_1,MATCH(R$5,Oficinas!$D$9:$V$9,0),0),"")</f>
        <v>100</v>
      </c>
      <c r="S15">
        <f>+IFERROR(VLOOKUP($F15,Oficinas_1,MATCH(S$5,Oficinas!$D$9:$V$9,0),0),"")</f>
        <v>100</v>
      </c>
      <c r="T15">
        <f>+IFERROR(VLOOKUP($F15,Oficinas_1,MATCH(T$5,Oficinas!$D$9:$V$9,0),0),"")</f>
        <v>100</v>
      </c>
      <c r="U15" t="str">
        <f>+IFERROR(VLOOKUP($F15,Oficinas_1,MATCH(U$5,Oficinas!$D$9:$V$9,0),0),"")</f>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
      <c r="V15" t="str">
        <f>+IFERROR(VLOOKUP($F15,Oficinas_1,MATCH(V$5,Oficinas!$D$9:$V$9,0),0),"")</f>
        <v>Emitir conceptos jurídicos  para dar respuesta a las solicitudes y  orientar a las dependencias de la Secretaría General en aras de que sus actuaciones sean acordes al ordenamiento jurídico.</v>
      </c>
      <c r="W15" t="str">
        <f>+IFERROR(VLOOKUP($F15,Oficinas_1,MATCH(W$5,Oficinas!$D$9:$V$9,0),0),"")</f>
        <v xml:space="preserve">Orientar a las diferentes dependencias con el fin de prevenir el daño antijuridico </v>
      </c>
      <c r="X15" t="str">
        <f>+IFERROR(VLOOKUP($F15,Oficinas_1,MATCH(X$5,Oficinas!$D$9:$V$9,0),0),"")</f>
        <v>Base de datos en excel</v>
      </c>
      <c r="Y15">
        <f>+IFERROR(IF(ISBLANK(VLOOKUP(CONCATENATE($F15,"_",Y$4),Oficinas_2,MATCH(Y$3,Oficinas!$F$26:$O$26,0),0)),"",VLOOKUP(CONCATENATE($F15,"_",Y$4),Oficinas_2,MATCH(Y$3,Oficinas!$F$26:$O$26,0),0)),"")</f>
        <v>0</v>
      </c>
      <c r="Z15">
        <f>+IFERROR(IF(ISBLANK(VLOOKUP(CONCATENATE($F15,"_",Z$4),Oficinas_2,MATCH(Z$3,Oficinas!$F$26:$O$26,0),0)),"",VLOOKUP(CONCATENATE($F15,"_",Z$4),Oficinas_2,MATCH(Z$3,Oficinas!$F$26:$O$26,0),0)),"")</f>
        <v>0</v>
      </c>
      <c r="AA15" t="str">
        <f>+IFERROR(IF(ISBLANK(VLOOKUP(CONCATENATE($F15,"_",AA$4),Oficinas_2,MATCH(AA$3,Oficinas!$F$26:$O$26,0),0)),"",VLOOKUP(CONCATENATE($F15,"_",AA$4),Oficinas_2,MATCH(AA$3,Oficinas!$F$26:$O$26,0),0)),"")</f>
        <v>Durante el mes de enero, no fueron expedidos Conceptos , debido a que todos los trámites que cursaban en la  Oficina se encontraban dentro del término legal</v>
      </c>
      <c r="AB15" t="str">
        <f>+IFERROR(IF(ISBLANK(VLOOKUP(CONCATENATE($F15,"_",AB$4),Oficinas_2,MATCH(AB$3,Oficinas!$F$26:$O$26,0),0)),"",VLOOKUP(CONCATENATE($F15,"_",AB$4),Oficinas_2,MATCH(AB$3,Oficinas!$F$26:$O$26,0),0)),"")</f>
        <v xml:space="preserve">Durante este mes  no se presentaron retrasos o dificultades para la expedición de los Conceptos solicitados a la OAJ </v>
      </c>
      <c r="AC15" t="str">
        <f>+IFERROR(IF(ISBLANK(VLOOKUP(CONCATENATE($F15,"_",AC$4),Oficinas_2,MATCH(AC$3,Oficinas!$F$26:$O$26,0),0)),"",VLOOKUP(CONCATENATE($F15,"_",AC$4),Oficinas_2,MATCH(AC$3,Oficinas!$F$26:$O$26,0),0)),"")</f>
        <v xml:space="preserve">orientar a todas las dependencias con el fin de prevenir el daño antijuridico </v>
      </c>
      <c r="AD15">
        <f>+IFERROR(IF(ISBLANK(VLOOKUP(CONCATENATE($F15,"_",AD$4),Oficinas_2,MATCH(AD$3,Oficinas!$F$26:$O$26,0),0)),"",VLOOKUP(CONCATENATE($F15,"_",AD$4),Oficinas_2,MATCH(AD$3,Oficinas!$F$26:$O$26,0),0)),"")</f>
        <v>3</v>
      </c>
      <c r="AE15">
        <f>+IFERROR(IF(ISBLANK(VLOOKUP(CONCATENATE($F15,"_",AE$4),Oficinas_2,MATCH(AE$3,Oficinas!$F$26:$O$26,0),0)),"",VLOOKUP(CONCATENATE($F15,"_",AE$4),Oficinas_2,MATCH(AE$3,Oficinas!$F$26:$O$26,0),0)),"")</f>
        <v>3</v>
      </c>
      <c r="AF15" t="str">
        <f>+IFERROR(IF(ISBLANK(VLOOKUP(CONCATENATE($F15,"_",AF$4),Oficinas_2,MATCH(AF$3,Oficinas!$F$26:$O$26,0),0)),"",VLOOKUP(CONCATENATE($F15,"_",AF$4),Oficinas_2,MATCH(AF$3,Oficinas!$F$26:$O$26,0),0)),"")</f>
        <v>Durante el mes de febrero fueron emitidos tres (3) conceptos jurídicos de los 3 solicitados a la Oficina Asesora de Jurídica, dando cumplimiento al 100% de lo solicitado</v>
      </c>
      <c r="AG15" t="str">
        <f>+IFERROR(IF(ISBLANK(VLOOKUP(CONCATENATE($F15,"_",AG$4),Oficinas_2,MATCH(AG$3,Oficinas!$F$26:$O$26,0),0)),"",VLOOKUP(CONCATENATE($F15,"_",AG$4),Oficinas_2,MATCH(AG$3,Oficinas!$F$26:$O$26,0),0)),"")</f>
        <v xml:space="preserve">Durante este mes  no se presentaron retrasos o dificultades para la expedición de los Conceptos solicitados a la OAJ </v>
      </c>
      <c r="AH15" t="str">
        <f>+IFERROR(IF(ISBLANK(VLOOKUP(CONCATENATE($F15,"_",AH$4),Oficinas_2,MATCH(AH$3,Oficinas!$F$26:$O$26,0),0)),"",VLOOKUP(CONCATENATE($F15,"_",AH$4),Oficinas_2,MATCH(AH$3,Oficinas!$F$26:$O$26,0),0)),"")</f>
        <v xml:space="preserve">orientar a todas las dependencias con el fin de prevenir el daño antijuridico </v>
      </c>
      <c r="AI15">
        <f>+IFERROR(IF(ISBLANK(VLOOKUP(CONCATENATE($F15,"_",AI$4),Oficinas_2,MATCH(AI$3,Oficinas!$F$26:$O$26,0),0)),"",VLOOKUP(CONCATENATE($F15,"_",AI$4),Oficinas_2,MATCH(AI$3,Oficinas!$F$26:$O$26,0),0)),"")</f>
        <v>4</v>
      </c>
      <c r="AJ15">
        <f>+IFERROR(IF(ISBLANK(VLOOKUP(CONCATENATE($F15,"_",AJ$4),Oficinas_2,MATCH(AJ$3,Oficinas!$F$26:$O$26,0),0)),"",VLOOKUP(CONCATENATE($F15,"_",AJ$4),Oficinas_2,MATCH(AJ$3,Oficinas!$F$26:$O$26,0),0)),"")</f>
        <v>4</v>
      </c>
      <c r="AK15" t="str">
        <f>+IFERROR(IF(ISBLANK(VLOOKUP(CONCATENATE($F15,"_",AK$4),Oficinas_2,MATCH(AK$3,Oficinas!$F$26:$O$26,0),0)),"",VLOOKUP(CONCATENATE($F15,"_",AK$4),Oficinas_2,MATCH(AK$3,Oficinas!$F$26:$O$26,0),0)),"")</f>
        <v>Durante el mes de marzo fueron emitidos cuatro (4) conceptos jurídicos de los 4 solicitados a la Oficina Asesora de Jurídica, dando cumplimiento al 100% de lo solicitado</v>
      </c>
      <c r="AL15" t="str">
        <f>+IFERROR(IF(ISBLANK(VLOOKUP(CONCATENATE($F15,"_",AL$4),Oficinas_2,MATCH(AL$3,Oficinas!$F$26:$O$26,0),0)),"",VLOOKUP(CONCATENATE($F15,"_",AL$4),Oficinas_2,MATCH(AL$3,Oficinas!$F$26:$O$26,0),0)),"")</f>
        <v xml:space="preserve">Durante este mes  no se presentaron retrasos o dificultades para la expedición de los Conceptos solicitados a la OAJ </v>
      </c>
      <c r="AM15" t="str">
        <f>+IFERROR(IF(ISBLANK(VLOOKUP(CONCATENATE($F15,"_",AM$4),Oficinas_2,MATCH(AM$3,Oficinas!$F$26:$O$26,0),0)),"",VLOOKUP(CONCATENATE($F15,"_",AM$4),Oficinas_2,MATCH(AM$3,Oficinas!$F$26:$O$26,0),0)),"")</f>
        <v xml:space="preserve">orientar a todas las dependencias con el fin de prevenir el daño antijuridico </v>
      </c>
      <c r="AN15">
        <f>+IFERROR(IF(ISBLANK(VLOOKUP(CONCATENATE($F15,"_",AN$4),Oficinas_2,MATCH(AN$3,Oficinas!$F$26:$O$26,0),0)),"",VLOOKUP(CONCATENATE($F15,"_",AN$4),Oficinas_2,MATCH(AN$3,Oficinas!$F$26:$O$26,0),0)),"")</f>
        <v>1</v>
      </c>
      <c r="AO15">
        <f>+IFERROR(IF(ISBLANK(VLOOKUP(CONCATENATE($F15,"_",AO$4),Oficinas_2,MATCH(AO$3,Oficinas!$F$26:$O$26,0),0)),"",VLOOKUP(CONCATENATE($F15,"_",AO$4),Oficinas_2,MATCH(AO$3,Oficinas!$F$26:$O$26,0),0)),"")</f>
        <v>1</v>
      </c>
      <c r="AP15" t="str">
        <f>+IFERROR(IF(ISBLANK(VLOOKUP(CONCATENATE($F15,"_",AP$4),Oficinas_2,MATCH(AP$3,Oficinas!$F$26:$O$26,0),0)),"",VLOOKUP(CONCATENATE($F15,"_",AP$4),Oficinas_2,MATCH(AP$3,Oficinas!$F$26:$O$26,0),0)),"")</f>
        <v>Durante el mes de abril fue emitido un (1) concepto jurídico de 1 solicitado a la Oficina Asesora de Jurídica, dando cumplimiento al 100% de lo solicitado</v>
      </c>
      <c r="AQ15" t="str">
        <f>+IFERROR(IF(ISBLANK(VLOOKUP(CONCATENATE($F15,"_",AQ$4),Oficinas_2,MATCH(AQ$3,Oficinas!$F$26:$O$26,0),0)),"",VLOOKUP(CONCATENATE($F15,"_",AQ$4),Oficinas_2,MATCH(AQ$3,Oficinas!$F$26:$O$26,0),0)),"")</f>
        <v xml:space="preserve">Durante este mes  no se presentaron retrasos o dificultades para la expedición de los Conceptos solicitados a la OAJ </v>
      </c>
      <c r="AR15" t="str">
        <f>+IFERROR(IF(ISBLANK(VLOOKUP(CONCATENATE($F15,"_",AR$4),Oficinas_2,MATCH(AR$3,Oficinas!$F$26:$O$26,0),0)),"",VLOOKUP(CONCATENATE($F15,"_",AR$4),Oficinas_2,MATCH(AR$3,Oficinas!$F$26:$O$26,0),0)),"")</f>
        <v xml:space="preserve">orientar a todas las dependencias con el fin de prevenir el daño antijuridico </v>
      </c>
      <c r="AS15">
        <f>+IFERROR(IF(ISBLANK(VLOOKUP(CONCATENATE($F15,"_",AS$4),Oficinas_2,MATCH(AS$3,Oficinas!$F$26:$O$26,0),0)),"",VLOOKUP(CONCATENATE($F15,"_",AS$4),Oficinas_2,MATCH(AS$3,Oficinas!$F$26:$O$26,0),0)),"")</f>
        <v>1</v>
      </c>
      <c r="AT15">
        <f>+IFERROR(IF(ISBLANK(VLOOKUP(CONCATENATE($F15,"_",AT$4),Oficinas_2,MATCH(AT$3,Oficinas!$F$26:$O$26,0),0)),"",VLOOKUP(CONCATENATE($F15,"_",AT$4),Oficinas_2,MATCH(AT$3,Oficinas!$F$26:$O$26,0),0)),"")</f>
        <v>1</v>
      </c>
      <c r="AU15" t="str">
        <f>+IFERROR(IF(ISBLANK(VLOOKUP(CONCATENATE($F15,"_",AU$4),Oficinas_2,MATCH(AU$3,Oficinas!$F$26:$O$26,0),0)),"",VLOOKUP(CONCATENATE($F15,"_",AU$4),Oficinas_2,MATCH(AU$3,Oficinas!$F$26:$O$26,0),0)),"")</f>
        <v>Durante el mes de mayo fue emitido un (1) concepto jurídico de 1 solicitado a la Oficina Asesora de Jurídica, dando cumplimiento al 100% de lo solicitado</v>
      </c>
      <c r="AV15" t="str">
        <f>+IFERROR(IF(ISBLANK(VLOOKUP(CONCATENATE($F15,"_",AV$4),Oficinas_2,MATCH(AV$3,Oficinas!$F$26:$O$26,0),0)),"",VLOOKUP(CONCATENATE($F15,"_",AV$4),Oficinas_2,MATCH(AV$3,Oficinas!$F$26:$O$26,0),0)),"")</f>
        <v xml:space="preserve">Durante este mes  no se presentaron retrasos o dificultades para la expedición de los Conceptos solicitados a la OAJ </v>
      </c>
      <c r="AW15" t="str">
        <f>+IFERROR(IF(ISBLANK(VLOOKUP(CONCATENATE($F15,"_",AW$4),Oficinas_2,MATCH(AW$3,Oficinas!$F$26:$O$26,0),0)),"",VLOOKUP(CONCATENATE($F15,"_",AW$4),Oficinas_2,MATCH(AW$3,Oficinas!$F$26:$O$26,0),0)),"")</f>
        <v xml:space="preserve">orientar a todas las dependencias con el fin de prevenir el daño antijuridico </v>
      </c>
      <c r="AX15">
        <f>+IFERROR(IF(ISBLANK(VLOOKUP(CONCATENATE($F15,"_",AX$4),Oficinas_2,MATCH(AX$3,Oficinas!$F$26:$O$26,0),0)),"",VLOOKUP(CONCATENATE($F15,"_",AX$4),Oficinas_2,MATCH(AX$3,Oficinas!$F$26:$O$26,0),0)),"")</f>
        <v>2</v>
      </c>
      <c r="AY15">
        <f>+IFERROR(IF(ISBLANK(VLOOKUP(CONCATENATE($F15,"_",AY$4),Oficinas_2,MATCH(AY$3,Oficinas!$F$26:$O$26,0),0)),"",VLOOKUP(CONCATENATE($F15,"_",AY$4),Oficinas_2,MATCH(AY$3,Oficinas!$F$26:$O$26,0),0)),"")</f>
        <v>2</v>
      </c>
      <c r="AZ15" t="str">
        <f>+IFERROR(IF(ISBLANK(VLOOKUP(CONCATENATE($F15,"_",AZ$4),Oficinas_2,MATCH(AZ$3,Oficinas!$F$26:$O$26,0),0)),"",VLOOKUP(CONCATENATE($F15,"_",AZ$4),Oficinas_2,MATCH(AZ$3,Oficinas!$F$26:$O$26,0),0)),"")</f>
        <v>Durante el mes de junio fueron emitidos 2 conceptos jurídicos solicitados a la Oificna Asesora de Jurídica dentro del término establecido en el artículo 14 de la Ley 1437 de 2011 y el Decreto Nacional 491 de 2020</v>
      </c>
      <c r="BA15" t="str">
        <f>+IFERROR(IF(ISBLANK(VLOOKUP(CONCATENATE($F15,"_",BA$4),Oficinas_2,MATCH(BA$3,Oficinas!$F$26:$O$26,0),0)),"",VLOOKUP(CONCATENATE($F15,"_",BA$4),Oficinas_2,MATCH(BA$3,Oficinas!$F$26:$O$26,0),0)),"")</f>
        <v xml:space="preserve">Durante este mes no se presentaron retrasos en la expedición de los conceptos solicitados a la Oficina </v>
      </c>
      <c r="BB15" t="str">
        <f>+IFERROR(IF(ISBLANK(VLOOKUP(CONCATENATE($F15,"_",BB$4),Oficinas_2,MATCH(BB$3,Oficinas!$F$26:$O$26,0),0)),"",VLOOKUP(CONCATENATE($F15,"_",BB$4),Oficinas_2,MATCH(BB$3,Oficinas!$F$26:$O$26,0),0)),"")</f>
        <v xml:space="preserve">Orientar a todas las dependencias cuando eleven consultas a la Oficina Asesora de Jurídica, con el fin de prevenir un eventual daño antijuridico </v>
      </c>
      <c r="BC15">
        <f t="shared" si="10"/>
        <v>11</v>
      </c>
      <c r="BD15">
        <f t="shared" si="10"/>
        <v>11</v>
      </c>
      <c r="BE15" s="129" t="str">
        <f>+IFERROR(IF(ISBLANK(VLOOKUP(CONCATENATE($F15,"_",BE$4),P1125_4,MATCH(BE$3,PAAC!$E$19:$M$19,0),0)),"",VLOOKUP(CONCATENATE($F15,"_",BE$4),P1125_4,MATCH(BE$3,PAAC!$E$19:$M$19,0),0)),"")</f>
        <v/>
      </c>
      <c r="BF15" s="129" t="str">
        <f>+IFERROR(IF(ISBLANK(VLOOKUP(CONCATENATE($F15,"_",BF$4),P1125_4,MATCH(BF$3,PAAC!$E$19:$M$19,0),0)),"",VLOOKUP(CONCATENATE($F15,"_",BF$4),P1125_4,MATCH(BF$3,PAAC!$E$19:$M$19,0),0)),"")</f>
        <v/>
      </c>
      <c r="BG15" s="129" t="str">
        <f>+IFERROR(IF(ISBLANK(VLOOKUP(CONCATENATE($F15,"_",BG$4),P1125_4,MATCH(BG$3,PAAC!$E$19:$M$19,0),0)),"",VLOOKUP(CONCATENATE($F15,"_",BG$4),P1125_4,MATCH(BG$3,PAAC!$E$19:$M$19,0),0)),"")</f>
        <v/>
      </c>
      <c r="BH15" s="129" t="str">
        <f>+IFERROR(IF(ISBLANK(VLOOKUP(CONCATENATE($F15,"_",BH$4),P1125_4,MATCH(BH$3,PAAC!$E$19:$M$19,0),0)),"",VLOOKUP(CONCATENATE($F15,"_",BH$4),P1125_4,MATCH(BH$3,PAAC!$E$19:$M$19,0),0)),"")</f>
        <v/>
      </c>
      <c r="BI15" s="129" t="str">
        <f>+IFERROR(IF(ISBLANK(VLOOKUP(CONCATENATE($F15,"_",BI$4),P1125_4,MATCH(BI$3,PAAC!$E$19:$M$19,0),0)),"",VLOOKUP(CONCATENATE($F15,"_",BI$4),P1125_4,MATCH(BI$3,PAAC!$E$19:$M$19,0),0)),"")</f>
        <v/>
      </c>
      <c r="BJ15" s="129" t="str">
        <f>+IFERROR(IF(ISBLANK(VLOOKUP(CONCATENATE($F15,"_",BJ$4),P1125_4,MATCH(BJ$3,PAAC!$E$19:$M$19,0),0)),"",VLOOKUP(CONCATENATE($F15,"_",BJ$4),P1125_4,MATCH(BJ$3,PAAC!$E$19:$M$19,0),0)),"")</f>
        <v/>
      </c>
      <c r="BK15" s="129" t="str">
        <f>+IFERROR(IF(ISBLANK(VLOOKUP(CONCATENATE($F15,"_",BK$4),P1125_4,MATCH(BK$3,PAAC!$E$19:$M$19,0),0)),"",VLOOKUP(CONCATENATE($F15,"_",BK$4),P1125_4,MATCH(BK$3,PAAC!$E$19:$M$19,0),0)),"")</f>
        <v/>
      </c>
      <c r="BL15" s="129" t="str">
        <f>+IFERROR(IF(ISBLANK(VLOOKUP(CONCATENATE($F15,"_",BL$4),P1125_4,MATCH(BL$3,PAAC!$E$19:$M$19,0),0)),"",VLOOKUP(CONCATENATE($F15,"_",BL$4),P1125_4,MATCH(BL$3,PAAC!$E$19:$M$19,0),0)),"")</f>
        <v/>
      </c>
      <c r="BM15" s="129" t="str">
        <f>+IFERROR(IF(ISBLANK(VLOOKUP(CONCATENATE($F15,"_",BM$4),P1125_4,MATCH(BM$3,PAAC!$E$19:$M$19,0),0)),"",VLOOKUP(CONCATENATE($F15,"_",BM$4),P1125_4,MATCH(BM$3,PAAC!$E$19:$M$19,0),0)),"")</f>
        <v/>
      </c>
      <c r="BN15" s="129" t="str">
        <f>+IFERROR(IF(ISBLANK(VLOOKUP(CONCATENATE($F15,"_",BN$4),P1125_4,MATCH(BN$3,PAAC!$E$19:$M$19,0),0)),"",VLOOKUP(CONCATENATE($F15,"_",BN$4),P1125_4,MATCH(BN$3,PAAC!$E$19:$M$19,0),0)),"")</f>
        <v/>
      </c>
      <c r="BO15" s="129" t="str">
        <f>+IFERROR(IF(ISBLANK(VLOOKUP(CONCATENATE($F15,"_",BO$4),P1125_4,MATCH(BO$3,PAAC!$E$19:$M$19,0),0)),"",VLOOKUP(CONCATENATE($F15,"_",BO$4),P1125_4,MATCH(BO$3,PAAC!$E$19:$M$19,0),0)),"")</f>
        <v/>
      </c>
      <c r="BP15" s="129" t="str">
        <f>+IFERROR(IF(ISBLANK(VLOOKUP(CONCATENATE($F15,"_",BP$4),P1125_4,MATCH(BP$3,PAAC!$E$19:$M$19,0),0)),"",VLOOKUP(CONCATENATE($F15,"_",BP$4),P1125_4,MATCH(BP$3,PAAC!$E$19:$M$19,0),0)),"")</f>
        <v/>
      </c>
      <c r="BQ15" s="129" t="str">
        <f>+IFERROR(IF(ISBLANK(VLOOKUP(CONCATENATE($F15,"_",BQ$4),P1125_4,MATCH(BQ$3,PAAC!$E$19:$M$19,0),0)),"",VLOOKUP(CONCATENATE($F15,"_",BQ$4),P1125_4,MATCH(BQ$3,PAAC!$E$19:$M$19,0),0)),"")</f>
        <v/>
      </c>
      <c r="BR15" s="129" t="str">
        <f>+IFERROR(IF(ISBLANK(VLOOKUP(CONCATENATE($F15,"_",BR$4),P1125_4,MATCH(BR$3,PAAC!$E$19:$M$19,0),0)),"",VLOOKUP(CONCATENATE($F15,"_",BR$4),P1125_4,MATCH(BR$3,PAAC!$E$19:$M$19,0),0)),"")</f>
        <v/>
      </c>
      <c r="BS15" s="129" t="str">
        <f>+IFERROR(IF(ISBLANK(VLOOKUP(CONCATENATE($F15,"_",BS$4),P1125_4,MATCH(BS$3,PAAC!$E$19:$M$19,0),0)),"",VLOOKUP(CONCATENATE($F15,"_",BS$4),P1125_4,MATCH(BS$3,PAAC!$E$19:$M$19,0),0)),"")</f>
        <v/>
      </c>
      <c r="BT15" s="129" t="str">
        <f>+IFERROR(IF(ISBLANK(VLOOKUP(CONCATENATE($F15,"_",BT$4),P1125_4,MATCH(BT$3,PAAC!$E$19:$M$19,0),0)),"",VLOOKUP(CONCATENATE($F15,"_",BT$4),P1125_4,MATCH(BT$3,PAAC!$E$19:$M$19,0),0)),"")</f>
        <v/>
      </c>
      <c r="BU15" s="129" t="str">
        <f>+IFERROR(IF(ISBLANK(VLOOKUP(CONCATENATE($F15,"_",BU$4),P1125_4,MATCH(BU$3,PAAC!$E$19:$M$19,0),0)),"",VLOOKUP(CONCATENATE($F15,"_",BU$4),P1125_4,MATCH(BU$3,PAAC!$E$19:$M$19,0),0)),"")</f>
        <v/>
      </c>
      <c r="BV15" s="129" t="str">
        <f>+IFERROR(IF(ISBLANK(VLOOKUP(CONCATENATE($F15,"_",BV$4),P1125_4,MATCH(BV$3,PAAC!$E$19:$M$19,0),0)),"",VLOOKUP(CONCATENATE($F15,"_",BV$4),P1125_4,MATCH(BV$3,PAAC!$E$19:$M$19,0),0)),"")</f>
        <v/>
      </c>
      <c r="BW15" s="129" t="str">
        <f>+IFERROR(IF(ISBLANK(VLOOKUP(CONCATENATE($F15,"_",BW$4),P1125_4,MATCH(BW$3,PAAC!$E$19:$M$19,0),0)),"",VLOOKUP(CONCATENATE($F15,"_",BW$4),P1125_4,MATCH(BW$3,PAAC!$E$19:$M$19,0),0)),"")</f>
        <v/>
      </c>
      <c r="BX15" s="129" t="str">
        <f>+IFERROR(IF(ISBLANK(VLOOKUP(CONCATENATE($F15,"_",BX$4),P1125_4,MATCH(BX$3,PAAC!$E$19:$M$19,0),0)),"",VLOOKUP(CONCATENATE($F15,"_",BX$4),P1125_4,MATCH(BX$3,PAAC!$E$19:$M$19,0),0)),"")</f>
        <v/>
      </c>
      <c r="BY15" s="129" t="str">
        <f>+IFERROR(IF(ISBLANK(VLOOKUP(CONCATENATE($F15,"_",BY$4),P1125_4,MATCH(BY$3,PAAC!$E$19:$M$19,0),0)),"",VLOOKUP(CONCATENATE($F15,"_",BY$4),P1125_4,MATCH(BY$3,PAAC!$E$19:$M$19,0),0)),"")</f>
        <v/>
      </c>
      <c r="BZ15" s="129" t="str">
        <f>+IFERROR(IF(ISBLANK(VLOOKUP(CONCATENATE($F15,"_",BZ$4),P1125_4,MATCH(BZ$3,PAAC!$E$19:$M$19,0),0)),"",VLOOKUP(CONCATENATE($F15,"_",BZ$4),P1125_4,MATCH(BZ$3,PAAC!$E$19:$M$19,0),0)),"")</f>
        <v/>
      </c>
      <c r="CA15" s="129" t="str">
        <f>+IFERROR(IF(ISBLANK(VLOOKUP(CONCATENATE($F15,"_",CA$4),P1125_4,MATCH(CA$3,PAAC!$E$19:$M$19,0),0)),"",VLOOKUP(CONCATENATE($F15,"_",CA$4),P1125_4,MATCH(CA$3,PAAC!$E$19:$M$19,0),0)),"")</f>
        <v/>
      </c>
      <c r="CB15" s="129" t="str">
        <f>+IFERROR(IF(ISBLANK(VLOOKUP(CONCATENATE($F15,"_",CB$4),P1125_4,MATCH(CB$3,PAAC!$E$19:$M$19,0),0)),"",VLOOKUP(CONCATENATE($F15,"_",CB$4),P1125_4,MATCH(CB$3,PAAC!$E$19:$M$19,0),0)),"")</f>
        <v/>
      </c>
      <c r="CC15" s="129" t="str">
        <f>+IFERROR(IF(ISBLANK(VLOOKUP(CONCATENATE($F15,"_",CC$4),P1125_4,MATCH(CC$3,PAAC!$E$19:$M$19,0),0)),"",VLOOKUP(CONCATENATE($F15,"_",CC$4),P1125_4,MATCH(CC$3,PAAC!$E$19:$M$19,0),0)),"")</f>
        <v/>
      </c>
      <c r="CD15" s="129" t="str">
        <f t="shared" si="11"/>
        <v/>
      </c>
      <c r="CE15" s="129" t="str">
        <f t="shared" si="3"/>
        <v/>
      </c>
      <c r="CF15" s="129" t="str">
        <f t="shared" si="4"/>
        <v/>
      </c>
      <c r="CG15" s="129" t="str">
        <f t="shared" si="5"/>
        <v/>
      </c>
      <c r="CH15" s="129" t="str">
        <f t="shared" si="6"/>
        <v/>
      </c>
      <c r="CI15" t="str">
        <f t="shared" si="18"/>
        <v>No aplica</v>
      </c>
      <c r="CJ15" t="str">
        <f t="shared" si="18"/>
        <v>Cumplido</v>
      </c>
      <c r="CK15" t="str">
        <f t="shared" si="18"/>
        <v>Adecuado</v>
      </c>
      <c r="CL15" t="str">
        <f t="shared" si="18"/>
        <v>Coherente</v>
      </c>
      <c r="CM15" t="str">
        <f t="shared" si="18"/>
        <v>Concuerda</v>
      </c>
      <c r="CN15" t="str">
        <f t="shared" si="18"/>
        <v>Concuerda</v>
      </c>
      <c r="CO15" t="str">
        <f t="shared" si="18"/>
        <v>No aplica</v>
      </c>
      <c r="CP15" t="str">
        <f t="shared" si="18"/>
        <v>Adecuado</v>
      </c>
      <c r="CQ15" t="str">
        <f t="shared" si="18"/>
        <v>Oportuna</v>
      </c>
      <c r="CR15" t="str">
        <f t="shared" si="18"/>
        <v xml:space="preserve">El reporte del indicador es adecuado en términos de coherencia y consistencia. El indicador presenta un cumplimiento del 100% </v>
      </c>
      <c r="CS15" t="str">
        <f t="shared" si="19"/>
        <v>Jorge Ruiz</v>
      </c>
      <c r="CT15" t="str">
        <f t="shared" si="19"/>
        <v>Cumple</v>
      </c>
      <c r="CU15" t="str">
        <f t="shared" si="19"/>
        <v>Cumplido</v>
      </c>
      <c r="CV15" t="str">
        <f t="shared" si="19"/>
        <v>Adecuado</v>
      </c>
      <c r="CW15" t="str">
        <f t="shared" si="19"/>
        <v>Coherente</v>
      </c>
      <c r="CX15" t="str">
        <f t="shared" si="19"/>
        <v>Concuerda</v>
      </c>
      <c r="CY15" t="str">
        <f t="shared" si="19"/>
        <v>Concuerda</v>
      </c>
      <c r="CZ15" t="str">
        <f t="shared" si="19"/>
        <v>No aplica</v>
      </c>
      <c r="DA15" t="str">
        <f t="shared" si="19"/>
        <v>Adecuado</v>
      </c>
      <c r="DB15" t="str">
        <f t="shared" si="19"/>
        <v>Oportuna</v>
      </c>
      <c r="DC15" t="str">
        <f t="shared" si="20"/>
        <v xml:space="preserve">El reporte del indicador es adecuado en términos de coherencia y consistencia. El indicador presenta un cumplimiento del 100% </v>
      </c>
      <c r="DD15" t="str">
        <f t="shared" si="20"/>
        <v>Jorge Ruiz</v>
      </c>
      <c r="DE15" t="e">
        <f t="shared" si="20"/>
        <v>#REF!</v>
      </c>
      <c r="DF15" t="e">
        <f t="shared" si="20"/>
        <v>#REF!</v>
      </c>
      <c r="DG15" t="e">
        <f t="shared" si="20"/>
        <v>#REF!</v>
      </c>
      <c r="DH15" t="e">
        <f t="shared" si="20"/>
        <v>#REF!</v>
      </c>
      <c r="DI15" t="e">
        <f t="shared" si="20"/>
        <v>#REF!</v>
      </c>
      <c r="DJ15" t="e">
        <f t="shared" si="20"/>
        <v>#REF!</v>
      </c>
      <c r="DK15" t="e">
        <f t="shared" si="20"/>
        <v>#REF!</v>
      </c>
      <c r="DL15" t="e">
        <f t="shared" si="20"/>
        <v>#REF!</v>
      </c>
      <c r="DM15" t="e">
        <f t="shared" si="21"/>
        <v>#REF!</v>
      </c>
      <c r="DN15" t="e">
        <f t="shared" si="21"/>
        <v>#REF!</v>
      </c>
      <c r="DO15" t="e">
        <f t="shared" si="21"/>
        <v>#REF!</v>
      </c>
      <c r="DP15" t="e">
        <f t="shared" si="21"/>
        <v>#REF!</v>
      </c>
      <c r="DQ15" t="e">
        <f t="shared" si="21"/>
        <v>#REF!</v>
      </c>
      <c r="DR15" t="e">
        <f t="shared" si="21"/>
        <v>#REF!</v>
      </c>
      <c r="DS15" t="e">
        <f t="shared" si="21"/>
        <v>#REF!</v>
      </c>
      <c r="DT15" t="e">
        <f t="shared" si="21"/>
        <v>#REF!</v>
      </c>
      <c r="DU15" t="e">
        <f t="shared" si="21"/>
        <v>#REF!</v>
      </c>
      <c r="DV15" t="e">
        <f t="shared" si="21"/>
        <v>#REF!</v>
      </c>
      <c r="DW15" t="e">
        <f t="shared" si="21"/>
        <v>#REF!</v>
      </c>
      <c r="DX15" t="e">
        <f t="shared" si="21"/>
        <v>#REF!</v>
      </c>
    </row>
    <row r="16" spans="1:129" x14ac:dyDescent="0.3">
      <c r="A16" s="423">
        <f t="shared" si="16"/>
        <v>156</v>
      </c>
      <c r="B16" t="str">
        <f t="shared" si="17"/>
        <v>3_Oficina Asesora de Jurídica</v>
      </c>
      <c r="C16">
        <f t="shared" si="8"/>
        <v>3</v>
      </c>
      <c r="D16" t="str">
        <f t="shared" si="0"/>
        <v>Oficina Asesora de Jurídica</v>
      </c>
      <c r="E16" t="str">
        <f t="shared" si="1"/>
        <v>oaj</v>
      </c>
      <c r="F16" s="208">
        <f>Oficinas!D14</f>
        <v>156</v>
      </c>
      <c r="G16" t="str">
        <f t="shared" si="2"/>
        <v>Constante</v>
      </c>
      <c r="H16" t="str">
        <f t="shared" si="2"/>
        <v>Porcentaje</v>
      </c>
      <c r="I16">
        <f t="shared" si="2"/>
        <v>1</v>
      </c>
      <c r="J16">
        <f t="shared" si="2"/>
        <v>1</v>
      </c>
      <c r="K16" t="str">
        <f>+IFERROR(VLOOKUP($F16,Oficinas_1,MATCH(K$5,Oficinas!$D$9:$V$9,0),0),"")</f>
        <v>Constante</v>
      </c>
      <c r="L16" t="str">
        <f>+IFERROR(VLOOKUP($F16,Oficinas_1,MATCH(L$5,Oficinas!$D$9:$V$9,0),0),"")</f>
        <v/>
      </c>
      <c r="M16">
        <f t="shared" si="9"/>
        <v>300</v>
      </c>
      <c r="N16">
        <f>+IFERROR(VLOOKUP($F16,Oficinas_1,MATCH(N$5,Oficinas!$D$9:$V$9,0),0),"")</f>
        <v>100</v>
      </c>
      <c r="O16">
        <f>+IFERROR(VLOOKUP($F16,Oficinas_1,MATCH(O$5,Oficinas!$D$9:$V$9,0),0),"")</f>
        <v>100</v>
      </c>
      <c r="P16">
        <f>+IFERROR(VLOOKUP($F16,Oficinas_1,MATCH(P$5,Oficinas!$D$9:$V$9,0),0),"")</f>
        <v>100</v>
      </c>
      <c r="Q16">
        <f>+IFERROR(VLOOKUP($F16,Oficinas_1,MATCH(Q$5,Oficinas!$D$9:$V$9,0),0),"")</f>
        <v>100</v>
      </c>
      <c r="R16">
        <f>+IFERROR(VLOOKUP($F16,Oficinas_1,MATCH(R$5,Oficinas!$D$9:$V$9,0),0),"")</f>
        <v>100</v>
      </c>
      <c r="S16">
        <f>+IFERROR(VLOOKUP($F16,Oficinas_1,MATCH(S$5,Oficinas!$D$9:$V$9,0),0),"")</f>
        <v>100</v>
      </c>
      <c r="T16">
        <f>+IFERROR(VLOOKUP($F16,Oficinas_1,MATCH(T$5,Oficinas!$D$9:$V$9,0),0),"")</f>
        <v>100</v>
      </c>
      <c r="U16" t="str">
        <f>+IFERROR(VLOOKUP($F16,Oficinas_1,MATCH(U$5,Oficinas!$D$9:$V$9,0),0),"")</f>
        <v xml:space="preserve">El indicador pretende medir  la cantidad de Proyectos de Actos Administrativos revisados frente al número de solicitudes de revisión de Proyectos de  Actos Administrativos </v>
      </c>
      <c r="V16" t="str">
        <f>+IFERROR(VLOOKUP($F16,Oficinas_1,MATCH(V$5,Oficinas!$D$9:$V$9,0),0),"")</f>
        <v>Revisar los Proyectos de actos administrativos  de la Secretaría General, solicitados a la Oficina Asesora de Jurídica,  verificando que se ajusten al ordenamiento jurídico y a los propósitos de los mismos</v>
      </c>
      <c r="W16" t="str">
        <f>+IFERROR(VLOOKUP($F16,Oficinas_1,MATCH(W$5,Oficinas!$D$9:$V$9,0),0),"")</f>
        <v xml:space="preserve">Prestar apoyo juridico a todas las dependencias con el fin de prevenir el daño antijuridico </v>
      </c>
      <c r="X16" t="str">
        <f>+IFERROR(VLOOKUP($F16,Oficinas_1,MATCH(X$5,Oficinas!$D$9:$V$9,0),0),"")</f>
        <v>Base de datos en excel</v>
      </c>
      <c r="Y16">
        <f>+IFERROR(IF(ISBLANK(VLOOKUP(CONCATENATE($F16,"_",Y$4),Oficinas_2,MATCH(Y$3,Oficinas!$F$26:$O$26,0),0)),"",VLOOKUP(CONCATENATE($F16,"_",Y$4),Oficinas_2,MATCH(Y$3,Oficinas!$F$26:$O$26,0),0)),"")</f>
        <v>301</v>
      </c>
      <c r="Z16">
        <f>+IFERROR(IF(ISBLANK(VLOOKUP(CONCATENATE($F16,"_",Z$4),Oficinas_2,MATCH(Z$3,Oficinas!$F$26:$O$26,0),0)),"",VLOOKUP(CONCATENATE($F16,"_",Z$4),Oficinas_2,MATCH(Z$3,Oficinas!$F$26:$O$26,0),0)),"")</f>
        <v>301</v>
      </c>
      <c r="AA16" t="str">
        <f>+IFERROR(IF(ISBLANK(VLOOKUP(CONCATENATE($F16,"_",AA$4),Oficinas_2,MATCH(AA$3,Oficinas!$F$26:$O$26,0),0)),"",VLOOKUP(CONCATENATE($F16,"_",AA$4),Oficinas_2,MATCH(AA$3,Oficinas!$F$26:$O$26,0),0)),"")</f>
        <v xml:space="preserve">Durante el mes de enero se revisaron trescientos un (301) Proyectos de actos administrativos de los 301 solicitados a la Oficina Asesora de Jurídica, dando cumplimiento al 100% de lo solicitado. </v>
      </c>
      <c r="AB16" t="str">
        <f>+IFERROR(IF(ISBLANK(VLOOKUP(CONCATENATE($F16,"_",AB$4),Oficinas_2,MATCH(AB$3,Oficinas!$F$26:$O$26,0),0)),"",VLOOKUP(CONCATENATE($F16,"_",AB$4),Oficinas_2,MATCH(AB$3,Oficinas!$F$26:$O$26,0),0)),"")</f>
        <v xml:space="preserve">Durante el mes no hubo retrasos o dificultades para el cumplimiento de la meta en la generación del producto </v>
      </c>
      <c r="AC16" t="str">
        <f>+IFERROR(IF(ISBLANK(VLOOKUP(CONCATENATE($F16,"_",AC$4),Oficinas_2,MATCH(AC$3,Oficinas!$F$26:$O$26,0),0)),"",VLOOKUP(CONCATENATE($F16,"_",AC$4),Oficinas_2,MATCH(AC$3,Oficinas!$F$26:$O$26,0),0)),"")</f>
        <v xml:space="preserve">Prestar apoyo juridico a todas las dependencias con el fin de prevenir el daño antijuridico </v>
      </c>
      <c r="AD16">
        <f>+IFERROR(IF(ISBLANK(VLOOKUP(CONCATENATE($F16,"_",AD$4),Oficinas_2,MATCH(AD$3,Oficinas!$F$26:$O$26,0),0)),"",VLOOKUP(CONCATENATE($F16,"_",AD$4),Oficinas_2,MATCH(AD$3,Oficinas!$F$26:$O$26,0),0)),"")</f>
        <v>186</v>
      </c>
      <c r="AE16">
        <f>+IFERROR(IF(ISBLANK(VLOOKUP(CONCATENATE($F16,"_",AE$4),Oficinas_2,MATCH(AE$3,Oficinas!$F$26:$O$26,0),0)),"",VLOOKUP(CONCATENATE($F16,"_",AE$4),Oficinas_2,MATCH(AE$3,Oficinas!$F$26:$O$26,0),0)),"")</f>
        <v>186</v>
      </c>
      <c r="AF16" t="str">
        <f>+IFERROR(IF(ISBLANK(VLOOKUP(CONCATENATE($F16,"_",AF$4),Oficinas_2,MATCH(AF$3,Oficinas!$F$26:$O$26,0),0)),"",VLOOKUP(CONCATENATE($F16,"_",AF$4),Oficinas_2,MATCH(AF$3,Oficinas!$F$26:$O$26,0),0)),"")</f>
        <v xml:space="preserve">Durante el mes de febrero se revisaron ciento ochenta y seis (186) Proyectos de actos administrativos de los 186 solicitados a la Oficina Asesora de Jurídica, dando cumplimiento al 100% de lo solicitado. </v>
      </c>
      <c r="AG16" t="str">
        <f>+IFERROR(IF(ISBLANK(VLOOKUP(CONCATENATE($F16,"_",AG$4),Oficinas_2,MATCH(AG$3,Oficinas!$F$26:$O$26,0),0)),"",VLOOKUP(CONCATENATE($F16,"_",AG$4),Oficinas_2,MATCH(AG$3,Oficinas!$F$26:$O$26,0),0)),"")</f>
        <v xml:space="preserve">Durante el mes no hubo retrasos o dificultades para el cumplimiento de la meta en la generación del producto </v>
      </c>
      <c r="AH16" t="str">
        <f>+IFERROR(IF(ISBLANK(VLOOKUP(CONCATENATE($F16,"_",AH$4),Oficinas_2,MATCH(AH$3,Oficinas!$F$26:$O$26,0),0)),"",VLOOKUP(CONCATENATE($F16,"_",AH$4),Oficinas_2,MATCH(AH$3,Oficinas!$F$26:$O$26,0),0)),"")</f>
        <v xml:space="preserve">Prestar apoyo juridico a todas las dependencias con el fin de prevenir el daño antijuridico </v>
      </c>
      <c r="AI16">
        <f>+IFERROR(IF(ISBLANK(VLOOKUP(CONCATENATE($F16,"_",AI$4),Oficinas_2,MATCH(AI$3,Oficinas!$F$26:$O$26,0),0)),"",VLOOKUP(CONCATENATE($F16,"_",AI$4),Oficinas_2,MATCH(AI$3,Oficinas!$F$26:$O$26,0),0)),"")</f>
        <v>144</v>
      </c>
      <c r="AJ16">
        <f>+IFERROR(IF(ISBLANK(VLOOKUP(CONCATENATE($F16,"_",AJ$4),Oficinas_2,MATCH(AJ$3,Oficinas!$F$26:$O$26,0),0)),"",VLOOKUP(CONCATENATE($F16,"_",AJ$4),Oficinas_2,MATCH(AJ$3,Oficinas!$F$26:$O$26,0),0)),"")</f>
        <v>144</v>
      </c>
      <c r="AK16" t="str">
        <f>+IFERROR(IF(ISBLANK(VLOOKUP(CONCATENATE($F16,"_",AK$4),Oficinas_2,MATCH(AK$3,Oficinas!$F$26:$O$26,0),0)),"",VLOOKUP(CONCATENATE($F16,"_",AK$4),Oficinas_2,MATCH(AK$3,Oficinas!$F$26:$O$26,0),0)),"")</f>
        <v xml:space="preserve">Durante el mes de marzo se revisaron ciento cuarenta y cuatro (144) Proyectos de actos administrativos de los 144 solicitados a la Oficina Asesora de Jurídica, dando cumplimiento al 100% de lo solicitado. </v>
      </c>
      <c r="AL16" t="str">
        <f>+IFERROR(IF(ISBLANK(VLOOKUP(CONCATENATE($F16,"_",AL$4),Oficinas_2,MATCH(AL$3,Oficinas!$F$26:$O$26,0),0)),"",VLOOKUP(CONCATENATE($F16,"_",AL$4),Oficinas_2,MATCH(AL$3,Oficinas!$F$26:$O$26,0),0)),"")</f>
        <v xml:space="preserve">Durante el mes no hubo retrasos o dificultades para el cumplimiento de la meta en la generación del producto </v>
      </c>
      <c r="AM16" t="str">
        <f>+IFERROR(IF(ISBLANK(VLOOKUP(CONCATENATE($F16,"_",AM$4),Oficinas_2,MATCH(AM$3,Oficinas!$F$26:$O$26,0),0)),"",VLOOKUP(CONCATENATE($F16,"_",AM$4),Oficinas_2,MATCH(AM$3,Oficinas!$F$26:$O$26,0),0)),"")</f>
        <v xml:space="preserve">Prestar apoyo juridico a todas las dependencias con el fin de prevenir el daño antijuridico </v>
      </c>
      <c r="AN16">
        <f>+IFERROR(IF(ISBLANK(VLOOKUP(CONCATENATE($F16,"_",AN$4),Oficinas_2,MATCH(AN$3,Oficinas!$F$26:$O$26,0),0)),"",VLOOKUP(CONCATENATE($F16,"_",AN$4),Oficinas_2,MATCH(AN$3,Oficinas!$F$26:$O$26,0),0)),"")</f>
        <v>86</v>
      </c>
      <c r="AO16">
        <f>+IFERROR(IF(ISBLANK(VLOOKUP(CONCATENATE($F16,"_",AO$4),Oficinas_2,MATCH(AO$3,Oficinas!$F$26:$O$26,0),0)),"",VLOOKUP(CONCATENATE($F16,"_",AO$4),Oficinas_2,MATCH(AO$3,Oficinas!$F$26:$O$26,0),0)),"")</f>
        <v>86</v>
      </c>
      <c r="AP16" t="str">
        <f>+IFERROR(IF(ISBLANK(VLOOKUP(CONCATENATE($F16,"_",AP$4),Oficinas_2,MATCH(AP$3,Oficinas!$F$26:$O$26,0),0)),"",VLOOKUP(CONCATENATE($F16,"_",AP$4),Oficinas_2,MATCH(AP$3,Oficinas!$F$26:$O$26,0),0)),"")</f>
        <v xml:space="preserve">Durante el mes de abril se revisaron ochenta y seis (86) Proyectos de actos administrativos de los 86 solicitados a la Oficina Asesora de Jurídica, dando cumplimiento al 100% de lo solicitado. </v>
      </c>
      <c r="AQ16" t="str">
        <f>+IFERROR(IF(ISBLANK(VLOOKUP(CONCATENATE($F16,"_",AQ$4),Oficinas_2,MATCH(AQ$3,Oficinas!$F$26:$O$26,0),0)),"",VLOOKUP(CONCATENATE($F16,"_",AQ$4),Oficinas_2,MATCH(AQ$3,Oficinas!$F$26:$O$26,0),0)),"")</f>
        <v xml:space="preserve">Durante el mes no hubo retrasos o dificultades para el cumplimiento de la meta en la generación del producto </v>
      </c>
      <c r="AR16" t="str">
        <f>+IFERROR(IF(ISBLANK(VLOOKUP(CONCATENATE($F16,"_",AR$4),Oficinas_2,MATCH(AR$3,Oficinas!$F$26:$O$26,0),0)),"",VLOOKUP(CONCATENATE($F16,"_",AR$4),Oficinas_2,MATCH(AR$3,Oficinas!$F$26:$O$26,0),0)),"")</f>
        <v xml:space="preserve">Prestar apoyo juridico a todas las dependencias con el fin de prevenir el daño antijuridico </v>
      </c>
      <c r="AS16">
        <f>+IFERROR(IF(ISBLANK(VLOOKUP(CONCATENATE($F16,"_",AS$4),Oficinas_2,MATCH(AS$3,Oficinas!$F$26:$O$26,0),0)),"",VLOOKUP(CONCATENATE($F16,"_",AS$4),Oficinas_2,MATCH(AS$3,Oficinas!$F$26:$O$26,0),0)),"")</f>
        <v>45</v>
      </c>
      <c r="AT16">
        <f>+IFERROR(IF(ISBLANK(VLOOKUP(CONCATENATE($F16,"_",AT$4),Oficinas_2,MATCH(AT$3,Oficinas!$F$26:$O$26,0),0)),"",VLOOKUP(CONCATENATE($F16,"_",AT$4),Oficinas_2,MATCH(AT$3,Oficinas!$F$26:$O$26,0),0)),"")</f>
        <v>45</v>
      </c>
      <c r="AU16" t="str">
        <f>+IFERROR(IF(ISBLANK(VLOOKUP(CONCATENATE($F16,"_",AU$4),Oficinas_2,MATCH(AU$3,Oficinas!$F$26:$O$26,0),0)),"",VLOOKUP(CONCATENATE($F16,"_",AU$4),Oficinas_2,MATCH(AU$3,Oficinas!$F$26:$O$26,0),0)),"")</f>
        <v xml:space="preserve">Durante el mes de mayo se revisaron cuarenta y cinco (45) Proyectos de actos administrativos de los 45 solicitados a la Oficina Asesora de Jurídica, dando cumplimiento al 100% de lo solicitado. </v>
      </c>
      <c r="AV16" t="str">
        <f>+IFERROR(IF(ISBLANK(VLOOKUP(CONCATENATE($F16,"_",AV$4),Oficinas_2,MATCH(AV$3,Oficinas!$F$26:$O$26,0),0)),"",VLOOKUP(CONCATENATE($F16,"_",AV$4),Oficinas_2,MATCH(AV$3,Oficinas!$F$26:$O$26,0),0)),"")</f>
        <v xml:space="preserve">Durante el mes no hubo retrasos o dificultades para el cumplimiento de la meta en la generación del producto </v>
      </c>
      <c r="AW16" t="str">
        <f>+IFERROR(IF(ISBLANK(VLOOKUP(CONCATENATE($F16,"_",AW$4),Oficinas_2,MATCH(AW$3,Oficinas!$F$26:$O$26,0),0)),"",VLOOKUP(CONCATENATE($F16,"_",AW$4),Oficinas_2,MATCH(AW$3,Oficinas!$F$26:$O$26,0),0)),"")</f>
        <v xml:space="preserve">Prestar apoyo juridico a todas las dependencias con el fin de prevenir el daño antijuridico </v>
      </c>
      <c r="AX16">
        <f>+IFERROR(IF(ISBLANK(VLOOKUP(CONCATENATE($F16,"_",AX$4),Oficinas_2,MATCH(AX$3,Oficinas!$F$26:$O$26,0),0)),"",VLOOKUP(CONCATENATE($F16,"_",AX$4),Oficinas_2,MATCH(AX$3,Oficinas!$F$26:$O$26,0),0)),"")</f>
        <v>58</v>
      </c>
      <c r="AY16">
        <f>+IFERROR(IF(ISBLANK(VLOOKUP(CONCATENATE($F16,"_",AY$4),Oficinas_2,MATCH(AY$3,Oficinas!$F$26:$O$26,0),0)),"",VLOOKUP(CONCATENATE($F16,"_",AY$4),Oficinas_2,MATCH(AY$3,Oficinas!$F$26:$O$26,0),0)),"")</f>
        <v>58</v>
      </c>
      <c r="AZ16" t="str">
        <f>+IFERROR(IF(ISBLANK(VLOOKUP(CONCATENATE($F16,"_",AZ$4),Oficinas_2,MATCH(AZ$3,Oficinas!$F$26:$O$26,0),0)),"",VLOOKUP(CONCATENATE($F16,"_",AZ$4),Oficinas_2,MATCH(AZ$3,Oficinas!$F$26:$O$26,0),0)),"")</f>
        <v xml:space="preserve">Durante el mes de junio se analizó la viabilidad jurídica de 58 proyectos de actos administrativos, de acuerdo a la solicitud que hacen las demás dependencias de la Secretaría General a la Oficina Asesora de Jurídica </v>
      </c>
      <c r="BA16" t="str">
        <f>+IFERROR(IF(ISBLANK(VLOOKUP(CONCATENATE($F16,"_",BA$4),Oficinas_2,MATCH(BA$3,Oficinas!$F$26:$O$26,0),0)),"",VLOOKUP(CONCATENATE($F16,"_",BA$4),Oficinas_2,MATCH(BA$3,Oficinas!$F$26:$O$26,0),0)),"")</f>
        <v xml:space="preserve">Durante el mes de junio no se presentaron retrasos que impidieran la entrega oportuna del estudio jurídico de los proyectos de actos administrativos analizados </v>
      </c>
      <c r="BB16" t="str">
        <f>+IFERROR(IF(ISBLANK(VLOOKUP(CONCATENATE($F16,"_",BB$4),Oficinas_2,MATCH(BB$3,Oficinas!$F$26:$O$26,0),0)),"",VLOOKUP(CONCATENATE($F16,"_",BB$4),Oficinas_2,MATCH(BB$3,Oficinas!$F$26:$O$26,0),0)),"")</f>
        <v xml:space="preserve">Prestar apoyo juridico a todas las dependencias, cuando requieran por parte de la Oficina Asesora de Jurídica el análisis jurídico de proyectos de actos administrativos,  con el fin de prevenir el daño antijuridico </v>
      </c>
      <c r="BC16">
        <f t="shared" si="10"/>
        <v>820</v>
      </c>
      <c r="BD16">
        <f t="shared" si="10"/>
        <v>820</v>
      </c>
      <c r="BE16" s="129" t="str">
        <f>+IFERROR(IF(ISBLANK(VLOOKUP(CONCATENATE($F16,"_",BE$4),P1125_4,MATCH(BE$3,PAAC!$E$19:$M$19,0),0)),"",VLOOKUP(CONCATENATE($F16,"_",BE$4),P1125_4,MATCH(BE$3,PAAC!$E$19:$M$19,0),0)),"")</f>
        <v/>
      </c>
      <c r="BF16" s="129" t="str">
        <f>+IFERROR(IF(ISBLANK(VLOOKUP(CONCATENATE($F16,"_",BF$4),P1125_4,MATCH(BF$3,PAAC!$E$19:$M$19,0),0)),"",VLOOKUP(CONCATENATE($F16,"_",BF$4),P1125_4,MATCH(BF$3,PAAC!$E$19:$M$19,0),0)),"")</f>
        <v/>
      </c>
      <c r="BG16" s="129" t="str">
        <f>+IFERROR(IF(ISBLANK(VLOOKUP(CONCATENATE($F16,"_",BG$4),P1125_4,MATCH(BG$3,PAAC!$E$19:$M$19,0),0)),"",VLOOKUP(CONCATENATE($F16,"_",BG$4),P1125_4,MATCH(BG$3,PAAC!$E$19:$M$19,0),0)),"")</f>
        <v/>
      </c>
      <c r="BH16" s="129" t="str">
        <f>+IFERROR(IF(ISBLANK(VLOOKUP(CONCATENATE($F16,"_",BH$4),P1125_4,MATCH(BH$3,PAAC!$E$19:$M$19,0),0)),"",VLOOKUP(CONCATENATE($F16,"_",BH$4),P1125_4,MATCH(BH$3,PAAC!$E$19:$M$19,0),0)),"")</f>
        <v/>
      </c>
      <c r="BI16" s="129" t="str">
        <f>+IFERROR(IF(ISBLANK(VLOOKUP(CONCATENATE($F16,"_",BI$4),P1125_4,MATCH(BI$3,PAAC!$E$19:$M$19,0),0)),"",VLOOKUP(CONCATENATE($F16,"_",BI$4),P1125_4,MATCH(BI$3,PAAC!$E$19:$M$19,0),0)),"")</f>
        <v/>
      </c>
      <c r="BJ16" s="129" t="str">
        <f>+IFERROR(IF(ISBLANK(VLOOKUP(CONCATENATE($F16,"_",BJ$4),P1125_4,MATCH(BJ$3,PAAC!$E$19:$M$19,0),0)),"",VLOOKUP(CONCATENATE($F16,"_",BJ$4),P1125_4,MATCH(BJ$3,PAAC!$E$19:$M$19,0),0)),"")</f>
        <v/>
      </c>
      <c r="BK16" s="129" t="str">
        <f>+IFERROR(IF(ISBLANK(VLOOKUP(CONCATENATE($F16,"_",BK$4),P1125_4,MATCH(BK$3,PAAC!$E$19:$M$19,0),0)),"",VLOOKUP(CONCATENATE($F16,"_",BK$4),P1125_4,MATCH(BK$3,PAAC!$E$19:$M$19,0),0)),"")</f>
        <v/>
      </c>
      <c r="BL16" s="129" t="str">
        <f>+IFERROR(IF(ISBLANK(VLOOKUP(CONCATENATE($F16,"_",BL$4),P1125_4,MATCH(BL$3,PAAC!$E$19:$M$19,0),0)),"",VLOOKUP(CONCATENATE($F16,"_",BL$4),P1125_4,MATCH(BL$3,PAAC!$E$19:$M$19,0),0)),"")</f>
        <v/>
      </c>
      <c r="BM16" s="129" t="str">
        <f>+IFERROR(IF(ISBLANK(VLOOKUP(CONCATENATE($F16,"_",BM$4),P1125_4,MATCH(BM$3,PAAC!$E$19:$M$19,0),0)),"",VLOOKUP(CONCATENATE($F16,"_",BM$4),P1125_4,MATCH(BM$3,PAAC!$E$19:$M$19,0),0)),"")</f>
        <v/>
      </c>
      <c r="BN16" s="129" t="str">
        <f>+IFERROR(IF(ISBLANK(VLOOKUP(CONCATENATE($F16,"_",BN$4),P1125_4,MATCH(BN$3,PAAC!$E$19:$M$19,0),0)),"",VLOOKUP(CONCATENATE($F16,"_",BN$4),P1125_4,MATCH(BN$3,PAAC!$E$19:$M$19,0),0)),"")</f>
        <v/>
      </c>
      <c r="BO16" s="129" t="str">
        <f>+IFERROR(IF(ISBLANK(VLOOKUP(CONCATENATE($F16,"_",BO$4),P1125_4,MATCH(BO$3,PAAC!$E$19:$M$19,0),0)),"",VLOOKUP(CONCATENATE($F16,"_",BO$4),P1125_4,MATCH(BO$3,PAAC!$E$19:$M$19,0),0)),"")</f>
        <v/>
      </c>
      <c r="BP16" s="129" t="str">
        <f>+IFERROR(IF(ISBLANK(VLOOKUP(CONCATENATE($F16,"_",BP$4),P1125_4,MATCH(BP$3,PAAC!$E$19:$M$19,0),0)),"",VLOOKUP(CONCATENATE($F16,"_",BP$4),P1125_4,MATCH(BP$3,PAAC!$E$19:$M$19,0),0)),"")</f>
        <v/>
      </c>
      <c r="BQ16" s="129" t="str">
        <f>+IFERROR(IF(ISBLANK(VLOOKUP(CONCATENATE($F16,"_",BQ$4),P1125_4,MATCH(BQ$3,PAAC!$E$19:$M$19,0),0)),"",VLOOKUP(CONCATENATE($F16,"_",BQ$4),P1125_4,MATCH(BQ$3,PAAC!$E$19:$M$19,0),0)),"")</f>
        <v/>
      </c>
      <c r="BR16" s="129" t="str">
        <f>+IFERROR(IF(ISBLANK(VLOOKUP(CONCATENATE($F16,"_",BR$4),P1125_4,MATCH(BR$3,PAAC!$E$19:$M$19,0),0)),"",VLOOKUP(CONCATENATE($F16,"_",BR$4),P1125_4,MATCH(BR$3,PAAC!$E$19:$M$19,0),0)),"")</f>
        <v/>
      </c>
      <c r="BS16" s="129" t="str">
        <f>+IFERROR(IF(ISBLANK(VLOOKUP(CONCATENATE($F16,"_",BS$4),P1125_4,MATCH(BS$3,PAAC!$E$19:$M$19,0),0)),"",VLOOKUP(CONCATENATE($F16,"_",BS$4),P1125_4,MATCH(BS$3,PAAC!$E$19:$M$19,0),0)),"")</f>
        <v/>
      </c>
      <c r="BT16" s="129" t="str">
        <f>+IFERROR(IF(ISBLANK(VLOOKUP(CONCATENATE($F16,"_",BT$4),P1125_4,MATCH(BT$3,PAAC!$E$19:$M$19,0),0)),"",VLOOKUP(CONCATENATE($F16,"_",BT$4),P1125_4,MATCH(BT$3,PAAC!$E$19:$M$19,0),0)),"")</f>
        <v/>
      </c>
      <c r="BU16" s="129" t="str">
        <f>+IFERROR(IF(ISBLANK(VLOOKUP(CONCATENATE($F16,"_",BU$4),P1125_4,MATCH(BU$3,PAAC!$E$19:$M$19,0),0)),"",VLOOKUP(CONCATENATE($F16,"_",BU$4),P1125_4,MATCH(BU$3,PAAC!$E$19:$M$19,0),0)),"")</f>
        <v/>
      </c>
      <c r="BV16" s="129" t="str">
        <f>+IFERROR(IF(ISBLANK(VLOOKUP(CONCATENATE($F16,"_",BV$4),P1125_4,MATCH(BV$3,PAAC!$E$19:$M$19,0),0)),"",VLOOKUP(CONCATENATE($F16,"_",BV$4),P1125_4,MATCH(BV$3,PAAC!$E$19:$M$19,0),0)),"")</f>
        <v/>
      </c>
      <c r="BW16" s="129" t="str">
        <f>+IFERROR(IF(ISBLANK(VLOOKUP(CONCATENATE($F16,"_",BW$4),P1125_4,MATCH(BW$3,PAAC!$E$19:$M$19,0),0)),"",VLOOKUP(CONCATENATE($F16,"_",BW$4),P1125_4,MATCH(BW$3,PAAC!$E$19:$M$19,0),0)),"")</f>
        <v/>
      </c>
      <c r="BX16" s="129" t="str">
        <f>+IFERROR(IF(ISBLANK(VLOOKUP(CONCATENATE($F16,"_",BX$4),P1125_4,MATCH(BX$3,PAAC!$E$19:$M$19,0),0)),"",VLOOKUP(CONCATENATE($F16,"_",BX$4),P1125_4,MATCH(BX$3,PAAC!$E$19:$M$19,0),0)),"")</f>
        <v/>
      </c>
      <c r="BY16" s="129" t="str">
        <f>+IFERROR(IF(ISBLANK(VLOOKUP(CONCATENATE($F16,"_",BY$4),P1125_4,MATCH(BY$3,PAAC!$E$19:$M$19,0),0)),"",VLOOKUP(CONCATENATE($F16,"_",BY$4),P1125_4,MATCH(BY$3,PAAC!$E$19:$M$19,0),0)),"")</f>
        <v/>
      </c>
      <c r="BZ16" s="129" t="str">
        <f>+IFERROR(IF(ISBLANK(VLOOKUP(CONCATENATE($F16,"_",BZ$4),P1125_4,MATCH(BZ$3,PAAC!$E$19:$M$19,0),0)),"",VLOOKUP(CONCATENATE($F16,"_",BZ$4),P1125_4,MATCH(BZ$3,PAAC!$E$19:$M$19,0),0)),"")</f>
        <v/>
      </c>
      <c r="CA16" s="129" t="str">
        <f>+IFERROR(IF(ISBLANK(VLOOKUP(CONCATENATE($F16,"_",CA$4),P1125_4,MATCH(CA$3,PAAC!$E$19:$M$19,0),0)),"",VLOOKUP(CONCATENATE($F16,"_",CA$4),P1125_4,MATCH(CA$3,PAAC!$E$19:$M$19,0),0)),"")</f>
        <v/>
      </c>
      <c r="CB16" s="129" t="str">
        <f>+IFERROR(IF(ISBLANK(VLOOKUP(CONCATENATE($F16,"_",CB$4),P1125_4,MATCH(CB$3,PAAC!$E$19:$M$19,0),0)),"",VLOOKUP(CONCATENATE($F16,"_",CB$4),P1125_4,MATCH(CB$3,PAAC!$E$19:$M$19,0),0)),"")</f>
        <v/>
      </c>
      <c r="CC16" s="129" t="str">
        <f>+IFERROR(IF(ISBLANK(VLOOKUP(CONCATENATE($F16,"_",CC$4),P1125_4,MATCH(CC$3,PAAC!$E$19:$M$19,0),0)),"",VLOOKUP(CONCATENATE($F16,"_",CC$4),P1125_4,MATCH(CC$3,PAAC!$E$19:$M$19,0),0)),"")</f>
        <v/>
      </c>
      <c r="CD16" s="129" t="str">
        <f t="shared" si="11"/>
        <v/>
      </c>
      <c r="CE16" s="129" t="str">
        <f t="shared" si="3"/>
        <v/>
      </c>
      <c r="CF16" s="129" t="str">
        <f t="shared" si="4"/>
        <v/>
      </c>
      <c r="CG16" s="129" t="str">
        <f t="shared" si="5"/>
        <v/>
      </c>
      <c r="CH16" s="129" t="str">
        <f t="shared" si="6"/>
        <v/>
      </c>
      <c r="CI16" t="str">
        <f t="shared" si="18"/>
        <v>No aplica</v>
      </c>
      <c r="CJ16" t="str">
        <f t="shared" si="18"/>
        <v>Cumplido</v>
      </c>
      <c r="CK16" t="str">
        <f t="shared" si="18"/>
        <v>Adecuado</v>
      </c>
      <c r="CL16" t="str">
        <f t="shared" si="18"/>
        <v>Coherente</v>
      </c>
      <c r="CM16" t="str">
        <f t="shared" si="18"/>
        <v>Concuerda</v>
      </c>
      <c r="CN16" t="str">
        <f t="shared" si="18"/>
        <v>Concuerda</v>
      </c>
      <c r="CO16" t="str">
        <f t="shared" si="18"/>
        <v>No aplica</v>
      </c>
      <c r="CP16" t="str">
        <f t="shared" si="18"/>
        <v>Adecuado</v>
      </c>
      <c r="CQ16" t="str">
        <f t="shared" si="18"/>
        <v>Oportuna</v>
      </c>
      <c r="CR16" t="str">
        <f t="shared" si="18"/>
        <v xml:space="preserve">El reporte del indicador es adecuado en términos de coherencia y consistencia. El indicador presenta un cumplimiento del 100% </v>
      </c>
      <c r="CS16" t="str">
        <f t="shared" si="19"/>
        <v>Jorge Ruiz</v>
      </c>
      <c r="CT16" t="str">
        <f t="shared" si="19"/>
        <v>Cumple</v>
      </c>
      <c r="CU16" t="str">
        <f t="shared" si="19"/>
        <v>Cumplido</v>
      </c>
      <c r="CV16" t="str">
        <f t="shared" si="19"/>
        <v>Adecuado</v>
      </c>
      <c r="CW16" t="str">
        <f t="shared" si="19"/>
        <v>Coherente</v>
      </c>
      <c r="CX16" t="str">
        <f t="shared" si="19"/>
        <v>Concuerda</v>
      </c>
      <c r="CY16" t="str">
        <f t="shared" si="19"/>
        <v>Concuerda</v>
      </c>
      <c r="CZ16" t="str">
        <f t="shared" si="19"/>
        <v>No aplica</v>
      </c>
      <c r="DA16" t="str">
        <f t="shared" si="19"/>
        <v>Adecuado</v>
      </c>
      <c r="DB16" t="str">
        <f t="shared" si="19"/>
        <v>Oportuna</v>
      </c>
      <c r="DC16" t="str">
        <f t="shared" si="20"/>
        <v xml:space="preserve">El reporte del indicador es adecuado en términos de coherencia y consistencia. El indicador presenta un cumplimiento del 100% </v>
      </c>
      <c r="DD16" t="str">
        <f t="shared" si="20"/>
        <v>Jorge Ruiz</v>
      </c>
      <c r="DE16" t="e">
        <f t="shared" si="20"/>
        <v>#REF!</v>
      </c>
      <c r="DF16" t="e">
        <f t="shared" si="20"/>
        <v>#REF!</v>
      </c>
      <c r="DG16" t="e">
        <f t="shared" si="20"/>
        <v>#REF!</v>
      </c>
      <c r="DH16" t="e">
        <f t="shared" si="20"/>
        <v>#REF!</v>
      </c>
      <c r="DI16" t="e">
        <f t="shared" si="20"/>
        <v>#REF!</v>
      </c>
      <c r="DJ16" t="e">
        <f t="shared" si="20"/>
        <v>#REF!</v>
      </c>
      <c r="DK16" t="e">
        <f t="shared" si="20"/>
        <v>#REF!</v>
      </c>
      <c r="DL16" t="e">
        <f t="shared" si="20"/>
        <v>#REF!</v>
      </c>
      <c r="DM16" t="e">
        <f t="shared" si="21"/>
        <v>#REF!</v>
      </c>
      <c r="DN16" t="e">
        <f t="shared" si="21"/>
        <v>#REF!</v>
      </c>
      <c r="DO16" t="e">
        <f t="shared" si="21"/>
        <v>#REF!</v>
      </c>
      <c r="DP16" t="e">
        <f t="shared" si="21"/>
        <v>#REF!</v>
      </c>
      <c r="DQ16" t="e">
        <f t="shared" si="21"/>
        <v>#REF!</v>
      </c>
      <c r="DR16" t="e">
        <f t="shared" si="21"/>
        <v>#REF!</v>
      </c>
      <c r="DS16" t="e">
        <f t="shared" si="21"/>
        <v>#REF!</v>
      </c>
      <c r="DT16" t="e">
        <f t="shared" si="21"/>
        <v>#REF!</v>
      </c>
      <c r="DU16" t="e">
        <f t="shared" si="21"/>
        <v>#REF!</v>
      </c>
      <c r="DV16" t="e">
        <f t="shared" si="21"/>
        <v>#REF!</v>
      </c>
      <c r="DW16" t="e">
        <f t="shared" si="21"/>
        <v>#REF!</v>
      </c>
      <c r="DX16" t="e">
        <f t="shared" si="21"/>
        <v>#REF!</v>
      </c>
    </row>
    <row r="17" spans="1:128" x14ac:dyDescent="0.3">
      <c r="A17" s="423">
        <f t="shared" si="16"/>
        <v>159</v>
      </c>
      <c r="B17" t="str">
        <f t="shared" si="17"/>
        <v>4_Oficina Asesora de Jurídica</v>
      </c>
      <c r="C17">
        <f t="shared" si="8"/>
        <v>4</v>
      </c>
      <c r="D17" t="str">
        <f t="shared" si="0"/>
        <v>Oficina Asesora de Jurídica</v>
      </c>
      <c r="E17" t="str">
        <f t="shared" si="1"/>
        <v>oaj</v>
      </c>
      <c r="F17" s="208">
        <f>Oficinas!D15</f>
        <v>159</v>
      </c>
      <c r="G17" t="str">
        <f t="shared" si="2"/>
        <v>Constante</v>
      </c>
      <c r="H17" t="str">
        <f t="shared" si="2"/>
        <v>Porcentaje</v>
      </c>
      <c r="I17">
        <f t="shared" si="2"/>
        <v>1</v>
      </c>
      <c r="J17">
        <f t="shared" si="2"/>
        <v>1</v>
      </c>
      <c r="K17" t="str">
        <f>+IFERROR(VLOOKUP($F17,Oficinas_1,MATCH(K$5,Oficinas!$D$9:$V$9,0),0),"")</f>
        <v>Constante</v>
      </c>
      <c r="L17" t="str">
        <f>+IFERROR(VLOOKUP($F17,Oficinas_1,MATCH(L$5,Oficinas!$D$9:$V$9,0),0),"")</f>
        <v/>
      </c>
      <c r="M17">
        <f t="shared" si="9"/>
        <v>300</v>
      </c>
      <c r="N17">
        <f>+IFERROR(VLOOKUP($F17,Oficinas_1,MATCH(N$5,Oficinas!$D$9:$V$9,0),0),"")</f>
        <v>100</v>
      </c>
      <c r="O17">
        <f>+IFERROR(VLOOKUP($F17,Oficinas_1,MATCH(O$5,Oficinas!$D$9:$V$9,0),0),"")</f>
        <v>100</v>
      </c>
      <c r="P17">
        <f>+IFERROR(VLOOKUP($F17,Oficinas_1,MATCH(P$5,Oficinas!$D$9:$V$9,0),0),"")</f>
        <v>100</v>
      </c>
      <c r="Q17">
        <f>+IFERROR(VLOOKUP($F17,Oficinas_1,MATCH(Q$5,Oficinas!$D$9:$V$9,0),0),"")</f>
        <v>100</v>
      </c>
      <c r="R17">
        <f>+IFERROR(VLOOKUP($F17,Oficinas_1,MATCH(R$5,Oficinas!$D$9:$V$9,0),0),"")</f>
        <v>100</v>
      </c>
      <c r="S17">
        <f>+IFERROR(VLOOKUP($F17,Oficinas_1,MATCH(S$5,Oficinas!$D$9:$V$9,0),0),"")</f>
        <v>100</v>
      </c>
      <c r="T17">
        <f>+IFERROR(VLOOKUP($F17,Oficinas_1,MATCH(T$5,Oficinas!$D$9:$V$9,0),0),"")</f>
        <v>100</v>
      </c>
      <c r="U17" t="str">
        <f>+IFERROR(VLOOKUP($F17,Oficinas_1,MATCH(U$5,Oficinas!$D$9:$V$9,0),0),"")</f>
        <v>El indicador mide la cantidad de requerimientos, frente a los procesos judiciales y trámites extrajudiciales,  las cuales deben responderse dentro del término que otorga la ley para cada caso en especial.</v>
      </c>
      <c r="V17" t="str">
        <f>+IFERROR(VLOOKUP($F17,Oficinas_1,MATCH(V$5,Oficinas!$D$9:$V$9,0),0),"")</f>
        <v>Responder oportuna y eficazmente los requerimientos generados con ocasión del desarrollo de los procesos judiciales y trámites extrajudiciales en los que sea parte la Secretaría General.</v>
      </c>
      <c r="W17" t="str">
        <f>+IFERROR(VLOOKUP($F17,Oficinas_1,MATCH(W$5,Oficinas!$D$9:$V$9,0),0),"")</f>
        <v>Obtener resultados favorables para la entidad en los procesos judiciales y extrajudiciales y evitar el pago de condenas.</v>
      </c>
      <c r="X17" t="str">
        <f>+IFERROR(VLOOKUP($F17,Oficinas_1,MATCH(X$5,Oficinas!$D$9:$V$9,0),0),"")</f>
        <v>Base de datos en excel</v>
      </c>
      <c r="Y17">
        <f>+IFERROR(IF(ISBLANK(VLOOKUP(CONCATENATE($F17,"_",Y$4),Oficinas_2,MATCH(Y$3,Oficinas!$F$26:$O$26,0),0)),"",VLOOKUP(CONCATENATE($F17,"_",Y$4),Oficinas_2,MATCH(Y$3,Oficinas!$F$26:$O$26,0),0)),"")</f>
        <v>39</v>
      </c>
      <c r="Z17">
        <f>+IFERROR(IF(ISBLANK(VLOOKUP(CONCATENATE($F17,"_",Z$4),Oficinas_2,MATCH(Z$3,Oficinas!$F$26:$O$26,0),0)),"",VLOOKUP(CONCATENATE($F17,"_",Z$4),Oficinas_2,MATCH(Z$3,Oficinas!$F$26:$O$26,0),0)),"")</f>
        <v>39</v>
      </c>
      <c r="AA17" t="str">
        <f>+IFERROR(IF(ISBLANK(VLOOKUP(CONCATENATE($F17,"_",AA$4),Oficinas_2,MATCH(AA$3,Oficinas!$F$26:$O$26,0),0)),"",VLOOKUP(CONCATENATE($F17,"_",AA$4),Oficinas_2,MATCH(AA$3,Oficinas!$F$26:$O$26,0),0)),"")</f>
        <v xml:space="preserve">Durante el mes de febrero se tramitaron treinta y nueve  (39) actuaciones judiciales de las 39 solicitados a la Oficina Asesora de Jurídica, dando cumplimiento al 100% de lo solicitado. </v>
      </c>
      <c r="AB17" t="str">
        <f>+IFERROR(IF(ISBLANK(VLOOKUP(CONCATENATE($F17,"_",AB$4),Oficinas_2,MATCH(AB$3,Oficinas!$F$26:$O$26,0),0)),"",VLOOKUP(CONCATENATE($F17,"_",AB$4),Oficinas_2,MATCH(AB$3,Oficinas!$F$26:$O$26,0),0)),"")</f>
        <v xml:space="preserve">Durante el mes no hubo retrasos o dificultades para el cumplimiento de la meta en la generación del producto </v>
      </c>
      <c r="AC17" t="str">
        <f>+IFERROR(IF(ISBLANK(VLOOKUP(CONCATENATE($F17,"_",AC$4),Oficinas_2,MATCH(AC$3,Oficinas!$F$26:$O$26,0),0)),"",VLOOKUP(CONCATENATE($F17,"_",AC$4),Oficinas_2,MATCH(AC$3,Oficinas!$F$26:$O$26,0),0)),"")</f>
        <v>Ejercer la defensa judicial y extrajudicial de la entidad</v>
      </c>
      <c r="AD17">
        <f>+IFERROR(IF(ISBLANK(VLOOKUP(CONCATENATE($F17,"_",AD$4),Oficinas_2,MATCH(AD$3,Oficinas!$F$26:$O$26,0),0)),"",VLOOKUP(CONCATENATE($F17,"_",AD$4),Oficinas_2,MATCH(AD$3,Oficinas!$F$26:$O$26,0),0)),"")</f>
        <v>51</v>
      </c>
      <c r="AE17">
        <f>+IFERROR(IF(ISBLANK(VLOOKUP(CONCATENATE($F17,"_",AE$4),Oficinas_2,MATCH(AE$3,Oficinas!$F$26:$O$26,0),0)),"",VLOOKUP(CONCATENATE($F17,"_",AE$4),Oficinas_2,MATCH(AE$3,Oficinas!$F$26:$O$26,0),0)),"")</f>
        <v>51</v>
      </c>
      <c r="AF17" t="str">
        <f>+IFERROR(IF(ISBLANK(VLOOKUP(CONCATENATE($F17,"_",AF$4),Oficinas_2,MATCH(AF$3,Oficinas!$F$26:$O$26,0),0)),"",VLOOKUP(CONCATENATE($F17,"_",AF$4),Oficinas_2,MATCH(AF$3,Oficinas!$F$26:$O$26,0),0)),"")</f>
        <v xml:space="preserve">Durante el mes de febrero se tramitaron cincuenta y un (51) actuaciones judiciales de las 51 solicitados a la Oficina Asesora de Jurídica, dando cumplimiento al 100% de lo solicitado. </v>
      </c>
      <c r="AG17" t="str">
        <f>+IFERROR(IF(ISBLANK(VLOOKUP(CONCATENATE($F17,"_",AG$4),Oficinas_2,MATCH(AG$3,Oficinas!$F$26:$O$26,0),0)),"",VLOOKUP(CONCATENATE($F17,"_",AG$4),Oficinas_2,MATCH(AG$3,Oficinas!$F$26:$O$26,0),0)),"")</f>
        <v xml:space="preserve">Durante el mes no hubo retrasos o dificultades para el cumplimiento de la meta en la generación del producto </v>
      </c>
      <c r="AH17" t="str">
        <f>+IFERROR(IF(ISBLANK(VLOOKUP(CONCATENATE($F17,"_",AH$4),Oficinas_2,MATCH(AH$3,Oficinas!$F$26:$O$26,0),0)),"",VLOOKUP(CONCATENATE($F17,"_",AH$4),Oficinas_2,MATCH(AH$3,Oficinas!$F$26:$O$26,0),0)),"")</f>
        <v>Ejercer la defensa judicial y extrajudicial de la entidad</v>
      </c>
      <c r="AI17">
        <f>+IFERROR(IF(ISBLANK(VLOOKUP(CONCATENATE($F17,"_",AI$4),Oficinas_2,MATCH(AI$3,Oficinas!$F$26:$O$26,0),0)),"",VLOOKUP(CONCATENATE($F17,"_",AI$4),Oficinas_2,MATCH(AI$3,Oficinas!$F$26:$O$26,0),0)),"")</f>
        <v>62</v>
      </c>
      <c r="AJ17">
        <f>+IFERROR(IF(ISBLANK(VLOOKUP(CONCATENATE($F17,"_",AJ$4),Oficinas_2,MATCH(AJ$3,Oficinas!$F$26:$O$26,0),0)),"",VLOOKUP(CONCATENATE($F17,"_",AJ$4),Oficinas_2,MATCH(AJ$3,Oficinas!$F$26:$O$26,0),0)),"")</f>
        <v>62</v>
      </c>
      <c r="AK17" t="str">
        <f>+IFERROR(IF(ISBLANK(VLOOKUP(CONCATENATE($F17,"_",AK$4),Oficinas_2,MATCH(AK$3,Oficinas!$F$26:$O$26,0),0)),"",VLOOKUP(CONCATENATE($F17,"_",AK$4),Oficinas_2,MATCH(AK$3,Oficinas!$F$26:$O$26,0),0)),"")</f>
        <v xml:space="preserve">Durante el mes de marzo se tramitaron sesenta y dos (62) actuaciones judiciales de las 62 solicitados a la Oficina Asesora de Jurídica, dando cumplimiento al 100% de lo solicitado. </v>
      </c>
      <c r="AL17" t="str">
        <f>+IFERROR(IF(ISBLANK(VLOOKUP(CONCATENATE($F17,"_",AL$4),Oficinas_2,MATCH(AL$3,Oficinas!$F$26:$O$26,0),0)),"",VLOOKUP(CONCATENATE($F17,"_",AL$4),Oficinas_2,MATCH(AL$3,Oficinas!$F$26:$O$26,0),0)),"")</f>
        <v xml:space="preserve">Durante el mes no hubo retrasos o dificultades para el cumplimiento de la meta en la generación del producto </v>
      </c>
      <c r="AM17" t="str">
        <f>+IFERROR(IF(ISBLANK(VLOOKUP(CONCATENATE($F17,"_",AM$4),Oficinas_2,MATCH(AM$3,Oficinas!$F$26:$O$26,0),0)),"",VLOOKUP(CONCATENATE($F17,"_",AM$4),Oficinas_2,MATCH(AM$3,Oficinas!$F$26:$O$26,0),0)),"")</f>
        <v>Ejercer la defensa judicial y extrajudicial de la entidad</v>
      </c>
      <c r="AN17">
        <f>+IFERROR(IF(ISBLANK(VLOOKUP(CONCATENATE($F17,"_",AN$4),Oficinas_2,MATCH(AN$3,Oficinas!$F$26:$O$26,0),0)),"",VLOOKUP(CONCATENATE($F17,"_",AN$4),Oficinas_2,MATCH(AN$3,Oficinas!$F$26:$O$26,0),0)),"")</f>
        <v>8</v>
      </c>
      <c r="AO17">
        <f>+IFERROR(IF(ISBLANK(VLOOKUP(CONCATENATE($F17,"_",AO$4),Oficinas_2,MATCH(AO$3,Oficinas!$F$26:$O$26,0),0)),"",VLOOKUP(CONCATENATE($F17,"_",AO$4),Oficinas_2,MATCH(AO$3,Oficinas!$F$26:$O$26,0),0)),"")</f>
        <v>8</v>
      </c>
      <c r="AP17" t="str">
        <f>+IFERROR(IF(ISBLANK(VLOOKUP(CONCATENATE($F17,"_",AP$4),Oficinas_2,MATCH(AP$3,Oficinas!$F$26:$O$26,0),0)),"",VLOOKUP(CONCATENATE($F17,"_",AP$4),Oficinas_2,MATCH(AP$3,Oficinas!$F$26:$O$26,0),0)),"")</f>
        <v xml:space="preserve">Durante el mes de febrero se tramitaron ocho (8) actuaciones judiciales de las 8 solicitados a la Oficina Asesora de Jurídica, dando cumplimiento al 100% de lo solicitado. </v>
      </c>
      <c r="AQ17" t="str">
        <f>+IFERROR(IF(ISBLANK(VLOOKUP(CONCATENATE($F17,"_",AQ$4),Oficinas_2,MATCH(AQ$3,Oficinas!$F$26:$O$26,0),0)),"",VLOOKUP(CONCATENATE($F17,"_",AQ$4),Oficinas_2,MATCH(AQ$3,Oficinas!$F$26:$O$26,0),0)),"")</f>
        <v xml:space="preserve">Durante el mes no hubo retrasos o dificultades para el cumplimiento de la meta en la generación del producto </v>
      </c>
      <c r="AR17" t="str">
        <f>+IFERROR(IF(ISBLANK(VLOOKUP(CONCATENATE($F17,"_",AR$4),Oficinas_2,MATCH(AR$3,Oficinas!$F$26:$O$26,0),0)),"",VLOOKUP(CONCATENATE($F17,"_",AR$4),Oficinas_2,MATCH(AR$3,Oficinas!$F$26:$O$26,0),0)),"")</f>
        <v>Ejercer la defensa judicial y extrajudicial de la entidad</v>
      </c>
      <c r="AS17">
        <f>+IFERROR(IF(ISBLANK(VLOOKUP(CONCATENATE($F17,"_",AS$4),Oficinas_2,MATCH(AS$3,Oficinas!$F$26:$O$26,0),0)),"",VLOOKUP(CONCATENATE($F17,"_",AS$4),Oficinas_2,MATCH(AS$3,Oficinas!$F$26:$O$26,0),0)),"")</f>
        <v>13</v>
      </c>
      <c r="AT17">
        <f>+IFERROR(IF(ISBLANK(VLOOKUP(CONCATENATE($F17,"_",AT$4),Oficinas_2,MATCH(AT$3,Oficinas!$F$26:$O$26,0),0)),"",VLOOKUP(CONCATENATE($F17,"_",AT$4),Oficinas_2,MATCH(AT$3,Oficinas!$F$26:$O$26,0),0)),"")</f>
        <v>13</v>
      </c>
      <c r="AU17" t="str">
        <f>+IFERROR(IF(ISBLANK(VLOOKUP(CONCATENATE($F17,"_",AU$4),Oficinas_2,MATCH(AU$3,Oficinas!$F$26:$O$26,0),0)),"",VLOOKUP(CONCATENATE($F17,"_",AU$4),Oficinas_2,MATCH(AU$3,Oficinas!$F$26:$O$26,0),0)),"")</f>
        <v xml:space="preserve">Durante el mes de febrero se tramitaron trece (13) actuaciones judiciales de las 13 solicitadas a la Oficina Asesora de Jurídica, dando cumplimiento al 100% de lo solicitado. </v>
      </c>
      <c r="AV17" t="str">
        <f>+IFERROR(IF(ISBLANK(VLOOKUP(CONCATENATE($F17,"_",AV$4),Oficinas_2,MATCH(AV$3,Oficinas!$F$26:$O$26,0),0)),"",VLOOKUP(CONCATENATE($F17,"_",AV$4),Oficinas_2,MATCH(AV$3,Oficinas!$F$26:$O$26,0),0)),"")</f>
        <v xml:space="preserve">Durante el mes no hubo retrasos o dificultades para el cumplimiento de la meta en la generación del producto </v>
      </c>
      <c r="AW17" t="str">
        <f>+IFERROR(IF(ISBLANK(VLOOKUP(CONCATENATE($F17,"_",AW$4),Oficinas_2,MATCH(AW$3,Oficinas!$F$26:$O$26,0),0)),"",VLOOKUP(CONCATENATE($F17,"_",AW$4),Oficinas_2,MATCH(AW$3,Oficinas!$F$26:$O$26,0),0)),"")</f>
        <v>Ejercer la defensa judicial y extrajudicial de la entidad</v>
      </c>
      <c r="AX17">
        <f>+IFERROR(IF(ISBLANK(VLOOKUP(CONCATENATE($F17,"_",AX$4),Oficinas_2,MATCH(AX$3,Oficinas!$F$26:$O$26,0),0)),"",VLOOKUP(CONCATENATE($F17,"_",AX$4),Oficinas_2,MATCH(AX$3,Oficinas!$F$26:$O$26,0),0)),"")</f>
        <v>21</v>
      </c>
      <c r="AY17">
        <f>+IFERROR(IF(ISBLANK(VLOOKUP(CONCATENATE($F17,"_",AY$4),Oficinas_2,MATCH(AY$3,Oficinas!$F$26:$O$26,0),0)),"",VLOOKUP(CONCATENATE($F17,"_",AY$4),Oficinas_2,MATCH(AY$3,Oficinas!$F$26:$O$26,0),0)),"")</f>
        <v>21</v>
      </c>
      <c r="AZ17" t="str">
        <f>+IFERROR(IF(ISBLANK(VLOOKUP(CONCATENATE($F17,"_",AZ$4),Oficinas_2,MATCH(AZ$3,Oficinas!$F$26:$O$26,0),0)),"",VLOOKUP(CONCATENATE($F17,"_",AZ$4),Oficinas_2,MATCH(AZ$3,Oficinas!$F$26:$O$26,0),0)),"")</f>
        <v xml:space="preserve">Durante el mes de junio se atendieron 21 requerimientos judiciales, consistentes en acciones de tutelas. Es importante precisar que debido a la emergencia sanitaria por la que atraviesa el país derivada de la llegada del Covid-19, el Consejo Superior de la Judicatura mediante los acuerdos PCSJA20-11517, PCSJA20-11518,
PCSJA20-11519, PCSJA20-11521, PCSJA20-11526, PCSJA20-11527, PCSJA20-11528, PCSJA20-11529, PCSJA20-11532, PCSJA20-11546, PCSJA20-11549 y PCSJA20-11556 suspendió los términos judiciales, razón por la cual los procesos judiciales adelantados en la Oficina no tuvieron movimientos en los meses de marzo a junio. </v>
      </c>
      <c r="BA17" t="str">
        <f>+IFERROR(IF(ISBLANK(VLOOKUP(CONCATENATE($F17,"_",BA$4),Oficinas_2,MATCH(BA$3,Oficinas!$F$26:$O$26,0),0)),"",VLOOKUP(CONCATENATE($F17,"_",BA$4),Oficinas_2,MATCH(BA$3,Oficinas!$F$26:$O$26,0),0)),"")</f>
        <v xml:space="preserve">Durante el mes de junio no se presentaron retrasos que impidieran el adecuado ejercicio de defensa judicial por parte de la Oficina Asesora de Jurídica </v>
      </c>
      <c r="BB17" t="str">
        <f>+IFERROR(IF(ISBLANK(VLOOKUP(CONCATENATE($F17,"_",BB$4),Oficinas_2,MATCH(BB$3,Oficinas!$F$26:$O$26,0),0)),"",VLOOKUP(CONCATENATE($F17,"_",BB$4),Oficinas_2,MATCH(BB$3,Oficinas!$F$26:$O$26,0),0)),"")</f>
        <v xml:space="preserve">Ejercer la defensa judicial y extrajudicial de la entidad </v>
      </c>
      <c r="BC17">
        <f t="shared" si="10"/>
        <v>194</v>
      </c>
      <c r="BD17">
        <f t="shared" si="10"/>
        <v>194</v>
      </c>
      <c r="BE17" s="129" t="str">
        <f>+IFERROR(IF(ISBLANK(VLOOKUP(CONCATENATE($F17,"_",BE$4),P1125_4,MATCH(BE$3,PAAC!$E$19:$M$19,0),0)),"",VLOOKUP(CONCATENATE($F17,"_",BE$4),P1125_4,MATCH(BE$3,PAAC!$E$19:$M$19,0),0)),"")</f>
        <v/>
      </c>
      <c r="BF17" s="129" t="str">
        <f>+IFERROR(IF(ISBLANK(VLOOKUP(CONCATENATE($F17,"_",BF$4),P1125_4,MATCH(BF$3,PAAC!$E$19:$M$19,0),0)),"",VLOOKUP(CONCATENATE($F17,"_",BF$4),P1125_4,MATCH(BF$3,PAAC!$E$19:$M$19,0),0)),"")</f>
        <v/>
      </c>
      <c r="BG17" s="129" t="str">
        <f>+IFERROR(IF(ISBLANK(VLOOKUP(CONCATENATE($F17,"_",BG$4),P1125_4,MATCH(BG$3,PAAC!$E$19:$M$19,0),0)),"",VLOOKUP(CONCATENATE($F17,"_",BG$4),P1125_4,MATCH(BG$3,PAAC!$E$19:$M$19,0),0)),"")</f>
        <v/>
      </c>
      <c r="BH17" s="129" t="str">
        <f>+IFERROR(IF(ISBLANK(VLOOKUP(CONCATENATE($F17,"_",BH$4),P1125_4,MATCH(BH$3,PAAC!$E$19:$M$19,0),0)),"",VLOOKUP(CONCATENATE($F17,"_",BH$4),P1125_4,MATCH(BH$3,PAAC!$E$19:$M$19,0),0)),"")</f>
        <v/>
      </c>
      <c r="BI17" s="129" t="str">
        <f>+IFERROR(IF(ISBLANK(VLOOKUP(CONCATENATE($F17,"_",BI$4),P1125_4,MATCH(BI$3,PAAC!$E$19:$M$19,0),0)),"",VLOOKUP(CONCATENATE($F17,"_",BI$4),P1125_4,MATCH(BI$3,PAAC!$E$19:$M$19,0),0)),"")</f>
        <v/>
      </c>
      <c r="BJ17" s="129" t="str">
        <f>+IFERROR(IF(ISBLANK(VLOOKUP(CONCATENATE($F17,"_",BJ$4),P1125_4,MATCH(BJ$3,PAAC!$E$19:$M$19,0),0)),"",VLOOKUP(CONCATENATE($F17,"_",BJ$4),P1125_4,MATCH(BJ$3,PAAC!$E$19:$M$19,0),0)),"")</f>
        <v/>
      </c>
      <c r="BK17" s="129" t="str">
        <f>+IFERROR(IF(ISBLANK(VLOOKUP(CONCATENATE($F17,"_",BK$4),P1125_4,MATCH(BK$3,PAAC!$E$19:$M$19,0),0)),"",VLOOKUP(CONCATENATE($F17,"_",BK$4),P1125_4,MATCH(BK$3,PAAC!$E$19:$M$19,0),0)),"")</f>
        <v/>
      </c>
      <c r="BL17" s="129" t="str">
        <f>+IFERROR(IF(ISBLANK(VLOOKUP(CONCATENATE($F17,"_",BL$4),P1125_4,MATCH(BL$3,PAAC!$E$19:$M$19,0),0)),"",VLOOKUP(CONCATENATE($F17,"_",BL$4),P1125_4,MATCH(BL$3,PAAC!$E$19:$M$19,0),0)),"")</f>
        <v/>
      </c>
      <c r="BM17" s="129" t="str">
        <f>+IFERROR(IF(ISBLANK(VLOOKUP(CONCATENATE($F17,"_",BM$4),P1125_4,MATCH(BM$3,PAAC!$E$19:$M$19,0),0)),"",VLOOKUP(CONCATENATE($F17,"_",BM$4),P1125_4,MATCH(BM$3,PAAC!$E$19:$M$19,0),0)),"")</f>
        <v/>
      </c>
      <c r="BN17" s="129" t="str">
        <f>+IFERROR(IF(ISBLANK(VLOOKUP(CONCATENATE($F17,"_",BN$4),P1125_4,MATCH(BN$3,PAAC!$E$19:$M$19,0),0)),"",VLOOKUP(CONCATENATE($F17,"_",BN$4),P1125_4,MATCH(BN$3,PAAC!$E$19:$M$19,0),0)),"")</f>
        <v/>
      </c>
      <c r="BO17" s="129" t="str">
        <f>+IFERROR(IF(ISBLANK(VLOOKUP(CONCATENATE($F17,"_",BO$4),P1125_4,MATCH(BO$3,PAAC!$E$19:$M$19,0),0)),"",VLOOKUP(CONCATENATE($F17,"_",BO$4),P1125_4,MATCH(BO$3,PAAC!$E$19:$M$19,0),0)),"")</f>
        <v/>
      </c>
      <c r="BP17" s="129" t="str">
        <f>+IFERROR(IF(ISBLANK(VLOOKUP(CONCATENATE($F17,"_",BP$4),P1125_4,MATCH(BP$3,PAAC!$E$19:$M$19,0),0)),"",VLOOKUP(CONCATENATE($F17,"_",BP$4),P1125_4,MATCH(BP$3,PAAC!$E$19:$M$19,0),0)),"")</f>
        <v/>
      </c>
      <c r="BQ17" s="129" t="str">
        <f>+IFERROR(IF(ISBLANK(VLOOKUP(CONCATENATE($F17,"_",BQ$4),P1125_4,MATCH(BQ$3,PAAC!$E$19:$M$19,0),0)),"",VLOOKUP(CONCATENATE($F17,"_",BQ$4),P1125_4,MATCH(BQ$3,PAAC!$E$19:$M$19,0),0)),"")</f>
        <v/>
      </c>
      <c r="BR17" s="129" t="str">
        <f>+IFERROR(IF(ISBLANK(VLOOKUP(CONCATENATE($F17,"_",BR$4),P1125_4,MATCH(BR$3,PAAC!$E$19:$M$19,0),0)),"",VLOOKUP(CONCATENATE($F17,"_",BR$4),P1125_4,MATCH(BR$3,PAAC!$E$19:$M$19,0),0)),"")</f>
        <v/>
      </c>
      <c r="BS17" s="129" t="str">
        <f>+IFERROR(IF(ISBLANK(VLOOKUP(CONCATENATE($F17,"_",BS$4),P1125_4,MATCH(BS$3,PAAC!$E$19:$M$19,0),0)),"",VLOOKUP(CONCATENATE($F17,"_",BS$4),P1125_4,MATCH(BS$3,PAAC!$E$19:$M$19,0),0)),"")</f>
        <v/>
      </c>
      <c r="BT17" s="129" t="str">
        <f>+IFERROR(IF(ISBLANK(VLOOKUP(CONCATENATE($F17,"_",BT$4),P1125_4,MATCH(BT$3,PAAC!$E$19:$M$19,0),0)),"",VLOOKUP(CONCATENATE($F17,"_",BT$4),P1125_4,MATCH(BT$3,PAAC!$E$19:$M$19,0),0)),"")</f>
        <v/>
      </c>
      <c r="BU17" s="129" t="str">
        <f>+IFERROR(IF(ISBLANK(VLOOKUP(CONCATENATE($F17,"_",BU$4),P1125_4,MATCH(BU$3,PAAC!$E$19:$M$19,0),0)),"",VLOOKUP(CONCATENATE($F17,"_",BU$4),P1125_4,MATCH(BU$3,PAAC!$E$19:$M$19,0),0)),"")</f>
        <v/>
      </c>
      <c r="BV17" s="129" t="str">
        <f>+IFERROR(IF(ISBLANK(VLOOKUP(CONCATENATE($F17,"_",BV$4),P1125_4,MATCH(BV$3,PAAC!$E$19:$M$19,0),0)),"",VLOOKUP(CONCATENATE($F17,"_",BV$4),P1125_4,MATCH(BV$3,PAAC!$E$19:$M$19,0),0)),"")</f>
        <v/>
      </c>
      <c r="BW17" s="129" t="str">
        <f>+IFERROR(IF(ISBLANK(VLOOKUP(CONCATENATE($F17,"_",BW$4),P1125_4,MATCH(BW$3,PAAC!$E$19:$M$19,0),0)),"",VLOOKUP(CONCATENATE($F17,"_",BW$4),P1125_4,MATCH(BW$3,PAAC!$E$19:$M$19,0),0)),"")</f>
        <v/>
      </c>
      <c r="BX17" s="129" t="str">
        <f>+IFERROR(IF(ISBLANK(VLOOKUP(CONCATENATE($F17,"_",BX$4),P1125_4,MATCH(BX$3,PAAC!$E$19:$M$19,0),0)),"",VLOOKUP(CONCATENATE($F17,"_",BX$4),P1125_4,MATCH(BX$3,PAAC!$E$19:$M$19,0),0)),"")</f>
        <v/>
      </c>
      <c r="BY17" s="129" t="str">
        <f>+IFERROR(IF(ISBLANK(VLOOKUP(CONCATENATE($F17,"_",BY$4),P1125_4,MATCH(BY$3,PAAC!$E$19:$M$19,0),0)),"",VLOOKUP(CONCATENATE($F17,"_",BY$4),P1125_4,MATCH(BY$3,PAAC!$E$19:$M$19,0),0)),"")</f>
        <v/>
      </c>
      <c r="BZ17" s="129" t="str">
        <f>+IFERROR(IF(ISBLANK(VLOOKUP(CONCATENATE($F17,"_",BZ$4),P1125_4,MATCH(BZ$3,PAAC!$E$19:$M$19,0),0)),"",VLOOKUP(CONCATENATE($F17,"_",BZ$4),P1125_4,MATCH(BZ$3,PAAC!$E$19:$M$19,0),0)),"")</f>
        <v/>
      </c>
      <c r="CA17" s="129" t="str">
        <f>+IFERROR(IF(ISBLANK(VLOOKUP(CONCATENATE($F17,"_",CA$4),P1125_4,MATCH(CA$3,PAAC!$E$19:$M$19,0),0)),"",VLOOKUP(CONCATENATE($F17,"_",CA$4),P1125_4,MATCH(CA$3,PAAC!$E$19:$M$19,0),0)),"")</f>
        <v/>
      </c>
      <c r="CB17" s="129" t="str">
        <f>+IFERROR(IF(ISBLANK(VLOOKUP(CONCATENATE($F17,"_",CB$4),P1125_4,MATCH(CB$3,PAAC!$E$19:$M$19,0),0)),"",VLOOKUP(CONCATENATE($F17,"_",CB$4),P1125_4,MATCH(CB$3,PAAC!$E$19:$M$19,0),0)),"")</f>
        <v/>
      </c>
      <c r="CC17" s="129" t="str">
        <f>+IFERROR(IF(ISBLANK(VLOOKUP(CONCATENATE($F17,"_",CC$4),P1125_4,MATCH(CC$3,PAAC!$E$19:$M$19,0),0)),"",VLOOKUP(CONCATENATE($F17,"_",CC$4),P1125_4,MATCH(CC$3,PAAC!$E$19:$M$19,0),0)),"")</f>
        <v/>
      </c>
      <c r="CD17" s="129" t="str">
        <f t="shared" si="11"/>
        <v/>
      </c>
      <c r="CE17" s="129" t="str">
        <f t="shared" si="3"/>
        <v/>
      </c>
      <c r="CF17" s="129" t="str">
        <f t="shared" si="4"/>
        <v/>
      </c>
      <c r="CG17" s="129" t="str">
        <f t="shared" si="5"/>
        <v/>
      </c>
      <c r="CH17" s="129" t="str">
        <f t="shared" si="6"/>
        <v/>
      </c>
      <c r="CI17" t="str">
        <f t="shared" si="18"/>
        <v>No aplica</v>
      </c>
      <c r="CJ17" t="str">
        <f t="shared" si="18"/>
        <v>Cumplido</v>
      </c>
      <c r="CK17" t="str">
        <f t="shared" si="18"/>
        <v>Adecuado</v>
      </c>
      <c r="CL17" t="str">
        <f t="shared" si="18"/>
        <v>Coherente</v>
      </c>
      <c r="CM17" t="str">
        <f t="shared" si="18"/>
        <v>Concuerda</v>
      </c>
      <c r="CN17" t="str">
        <f t="shared" si="18"/>
        <v>Concuerda</v>
      </c>
      <c r="CO17" t="str">
        <f t="shared" si="18"/>
        <v>No aplica</v>
      </c>
      <c r="CP17" t="str">
        <f t="shared" si="18"/>
        <v>No adecuado</v>
      </c>
      <c r="CQ17" t="str">
        <f t="shared" si="18"/>
        <v>Oportuna</v>
      </c>
      <c r="CR17" t="str">
        <f t="shared" si="18"/>
        <v xml:space="preserve">El reporte del indicador es adecuado en términos de coherencia y consistencia. El indicador presenta un cumplimiento del 100% </v>
      </c>
      <c r="CS17" t="str">
        <f t="shared" si="19"/>
        <v>Jorge Ruiz</v>
      </c>
      <c r="CT17" t="str">
        <f t="shared" si="19"/>
        <v>Cumple</v>
      </c>
      <c r="CU17" t="str">
        <f t="shared" si="19"/>
        <v>Cumplido</v>
      </c>
      <c r="CV17" t="str">
        <f t="shared" si="19"/>
        <v>Adecuado</v>
      </c>
      <c r="CW17" t="str">
        <f t="shared" si="19"/>
        <v>Coherente</v>
      </c>
      <c r="CX17" t="str">
        <f t="shared" si="19"/>
        <v>Concuerda</v>
      </c>
      <c r="CY17" t="str">
        <f t="shared" si="19"/>
        <v>Concuerda</v>
      </c>
      <c r="CZ17" t="str">
        <f t="shared" si="19"/>
        <v>No aplica</v>
      </c>
      <c r="DA17" t="str">
        <f t="shared" si="19"/>
        <v>Adecuado</v>
      </c>
      <c r="DB17" t="str">
        <f t="shared" si="19"/>
        <v>Oportuna</v>
      </c>
      <c r="DC17" t="str">
        <f t="shared" si="20"/>
        <v xml:space="preserve">El reporte del indicador es adecuado en términos de coherencia y consistencia. El indicador presenta un cumplimiento del 100% </v>
      </c>
      <c r="DD17" t="str">
        <f t="shared" si="20"/>
        <v>Jorge Ruiz</v>
      </c>
      <c r="DE17" t="e">
        <f t="shared" si="20"/>
        <v>#REF!</v>
      </c>
      <c r="DF17" t="e">
        <f t="shared" si="20"/>
        <v>#REF!</v>
      </c>
      <c r="DG17" t="e">
        <f t="shared" si="20"/>
        <v>#REF!</v>
      </c>
      <c r="DH17" t="e">
        <f t="shared" si="20"/>
        <v>#REF!</v>
      </c>
      <c r="DI17" t="e">
        <f t="shared" si="20"/>
        <v>#REF!</v>
      </c>
      <c r="DJ17" t="e">
        <f t="shared" si="20"/>
        <v>#REF!</v>
      </c>
      <c r="DK17" t="e">
        <f t="shared" si="20"/>
        <v>#REF!</v>
      </c>
      <c r="DL17" t="e">
        <f t="shared" si="20"/>
        <v>#REF!</v>
      </c>
      <c r="DM17" t="e">
        <f t="shared" si="21"/>
        <v>#REF!</v>
      </c>
      <c r="DN17" t="e">
        <f t="shared" si="21"/>
        <v>#REF!</v>
      </c>
      <c r="DO17" t="e">
        <f t="shared" si="21"/>
        <v>#REF!</v>
      </c>
      <c r="DP17" t="e">
        <f t="shared" si="21"/>
        <v>#REF!</v>
      </c>
      <c r="DQ17" t="e">
        <f t="shared" si="21"/>
        <v>#REF!</v>
      </c>
      <c r="DR17" t="e">
        <f t="shared" si="21"/>
        <v>#REF!</v>
      </c>
      <c r="DS17" t="e">
        <f t="shared" si="21"/>
        <v>#REF!</v>
      </c>
      <c r="DT17" t="e">
        <f t="shared" si="21"/>
        <v>#REF!</v>
      </c>
      <c r="DU17" t="e">
        <f t="shared" si="21"/>
        <v>#REF!</v>
      </c>
      <c r="DV17" t="e">
        <f t="shared" si="21"/>
        <v>#REF!</v>
      </c>
      <c r="DW17" t="e">
        <f t="shared" si="21"/>
        <v>#REF!</v>
      </c>
      <c r="DX17" t="e">
        <f t="shared" si="21"/>
        <v>#REF!</v>
      </c>
    </row>
    <row r="18" spans="1:128" x14ac:dyDescent="0.3">
      <c r="A18" s="423">
        <f t="shared" si="16"/>
        <v>134</v>
      </c>
      <c r="B18" t="str">
        <f t="shared" si="17"/>
        <v>1_Oficina de Control Interno</v>
      </c>
      <c r="C18">
        <f t="shared" si="8"/>
        <v>1</v>
      </c>
      <c r="D18" t="str">
        <f t="shared" si="0"/>
        <v>Oficina de Control Interno</v>
      </c>
      <c r="E18" t="str">
        <f t="shared" si="1"/>
        <v>oci</v>
      </c>
      <c r="F18" s="208">
        <f>Oficinas!D16</f>
        <v>134</v>
      </c>
      <c r="G18" t="str">
        <f t="shared" si="2"/>
        <v>Constante</v>
      </c>
      <c r="H18" t="str">
        <f t="shared" si="2"/>
        <v>Porcentaje</v>
      </c>
      <c r="I18">
        <f t="shared" si="2"/>
        <v>1</v>
      </c>
      <c r="J18">
        <f t="shared" si="2"/>
        <v>1</v>
      </c>
      <c r="K18" t="str">
        <f>+IFERROR(VLOOKUP($F18,Oficinas_1,MATCH(K$5,Oficinas!$D$9:$V$9,0),0),"")</f>
        <v>Suma</v>
      </c>
      <c r="L18">
        <f>+IFERROR(VLOOKUP($F18,Oficinas_1,MATCH(L$5,Oficinas!$D$9:$V$9,0),0),"")</f>
        <v>22</v>
      </c>
      <c r="M18">
        <f t="shared" si="9"/>
        <v>0</v>
      </c>
      <c r="N18">
        <f>+IFERROR(VLOOKUP($F18,Oficinas_1,MATCH(N$5,Oficinas!$D$9:$V$9,0),0),"")</f>
        <v>0</v>
      </c>
      <c r="O18">
        <f>+IFERROR(VLOOKUP($F18,Oficinas_1,MATCH(O$5,Oficinas!$D$9:$V$9,0),0),"")</f>
        <v>0</v>
      </c>
      <c r="P18">
        <f>+IFERROR(VLOOKUP($F18,Oficinas_1,MATCH(P$5,Oficinas!$D$9:$V$9,0),0),"")</f>
        <v>0</v>
      </c>
      <c r="Q18">
        <f>+IFERROR(VLOOKUP($F18,Oficinas_1,MATCH(Q$5,Oficinas!$D$9:$V$9,0),0),"")</f>
        <v>0</v>
      </c>
      <c r="R18">
        <f>+IFERROR(VLOOKUP($F18,Oficinas_1,MATCH(R$5,Oficinas!$D$9:$V$9,0),0),"")</f>
        <v>17</v>
      </c>
      <c r="S18">
        <f>+IFERROR(VLOOKUP($F18,Oficinas_1,MATCH(S$5,Oficinas!$D$9:$V$9,0),0),"")</f>
        <v>5</v>
      </c>
      <c r="T18">
        <f>+IFERROR(VLOOKUP($F18,Oficinas_1,MATCH(T$5,Oficinas!$D$9:$V$9,0),0),"")</f>
        <v>100</v>
      </c>
      <c r="U18" t="str">
        <f>+IFERROR(VLOOKUP($F18,Oficinas_1,MATCH(U$5,Oficinas!$D$9:$V$9,0),0),"")</f>
        <v xml:space="preserve">Mide el grado de ejecución de las Auditorías Internas de calidad planificadas en la vigencia </v>
      </c>
      <c r="V18" t="str">
        <f>+IFERROR(VLOOKUP($F18,Oficinas_1,MATCH(V$5,Oficinas!$D$9:$V$9,0),0),"")</f>
        <v>1. Planificar la evaluación del SIG
2. Evaluar  integralmente los requisitos del SIG 
3. Presentar resultados de las auditorías realizadas.</v>
      </c>
      <c r="W18" t="str">
        <f>+IFERROR(VLOOKUP($F18,Oficinas_1,MATCH(W$5,Oficinas!$D$9:$V$9,0),0),"")</f>
        <v>1. Contribuye al mejoramiento de la calidad dirigido al usuario que requiere de los productos o servicio ofrecidos por la Entidad.
2. Promueve la mejora continua de los procesos de la organización
3. Tomar medidas frente a fallos existentes en los diferentes procesos.</v>
      </c>
      <c r="X18" t="str">
        <f>+IFERROR(VLOOKUP($F18,Oficinas_1,MATCH(X$5,Oficinas!$D$9:$V$9,0),0),"")</f>
        <v xml:space="preserve">Cronograma de Auditorias Internas de Calidad
Informes de Auditorias Interna de Calidad
Presentación de Resultados </v>
      </c>
      <c r="Y18">
        <f>+IFERROR(IF(ISBLANK(VLOOKUP(CONCATENATE($F18,"_",Y$4),Oficinas_2,MATCH(Y$3,Oficinas!$F$26:$O$26,0),0)),"",VLOOKUP(CONCATENATE($F18,"_",Y$4),Oficinas_2,MATCH(Y$3,Oficinas!$F$26:$O$26,0),0)),"")</f>
        <v>0</v>
      </c>
      <c r="Z18">
        <f>+IFERROR(IF(ISBLANK(VLOOKUP(CONCATENATE($F18,"_",Z$4),Oficinas_2,MATCH(Z$3,Oficinas!$F$26:$O$26,0),0)),"",VLOOKUP(CONCATENATE($F18,"_",Z$4),Oficinas_2,MATCH(Z$3,Oficinas!$F$26:$O$26,0),0)),"")</f>
        <v>0</v>
      </c>
      <c r="AA18" t="str">
        <f>+IFERROR(IF(ISBLANK(VLOOKUP(CONCATENATE($F18,"_",AA$4),Oficinas_2,MATCH(AA$3,Oficinas!$F$26:$O$26,0),0)),"",VLOOKUP(CONCATENATE($F18,"_",AA$4),Oficinas_2,MATCH(AA$3,Oficinas!$F$26:$O$26,0),0)),"")</f>
        <v>N/A</v>
      </c>
      <c r="AB18" t="str">
        <f>+IFERROR(IF(ISBLANK(VLOOKUP(CONCATENATE($F18,"_",AB$4),Oficinas_2,MATCH(AB$3,Oficinas!$F$26:$O$26,0),0)),"",VLOOKUP(CONCATENATE($F18,"_",AB$4),Oficinas_2,MATCH(AB$3,Oficinas!$F$26:$O$26,0),0)),"")</f>
        <v>N/A</v>
      </c>
      <c r="AC18" t="str">
        <f>+IFERROR(IF(ISBLANK(VLOOKUP(CONCATENATE($F18,"_",AC$4),Oficinas_2,MATCH(AC$3,Oficinas!$F$26:$O$26,0),0)),"",VLOOKUP(CONCATENATE($F18,"_",AC$4),Oficinas_2,MATCH(AC$3,Oficinas!$F$26:$O$26,0),0)),"")</f>
        <v>N/A</v>
      </c>
      <c r="AD18">
        <f>+IFERROR(IF(ISBLANK(VLOOKUP(CONCATENATE($F18,"_",AD$4),Oficinas_2,MATCH(AD$3,Oficinas!$F$26:$O$26,0),0)),"",VLOOKUP(CONCATENATE($F18,"_",AD$4),Oficinas_2,MATCH(AD$3,Oficinas!$F$26:$O$26,0),0)),"")</f>
        <v>0</v>
      </c>
      <c r="AE18">
        <f>+IFERROR(IF(ISBLANK(VLOOKUP(CONCATENATE($F18,"_",AE$4),Oficinas_2,MATCH(AE$3,Oficinas!$F$26:$O$26,0),0)),"",VLOOKUP(CONCATENATE($F18,"_",AE$4),Oficinas_2,MATCH(AE$3,Oficinas!$F$26:$O$26,0),0)),"")</f>
        <v>0</v>
      </c>
      <c r="AF18" t="str">
        <f>+IFERROR(IF(ISBLANK(VLOOKUP(CONCATENATE($F18,"_",AF$4),Oficinas_2,MATCH(AF$3,Oficinas!$F$26:$O$26,0),0)),"",VLOOKUP(CONCATENATE($F18,"_",AF$4),Oficinas_2,MATCH(AF$3,Oficinas!$F$26:$O$26,0),0)),"")</f>
        <v>N/A</v>
      </c>
      <c r="AG18" t="str">
        <f>+IFERROR(IF(ISBLANK(VLOOKUP(CONCATENATE($F18,"_",AG$4),Oficinas_2,MATCH(AG$3,Oficinas!$F$26:$O$26,0),0)),"",VLOOKUP(CONCATENATE($F18,"_",AG$4),Oficinas_2,MATCH(AG$3,Oficinas!$F$26:$O$26,0),0)),"")</f>
        <v>N/A</v>
      </c>
      <c r="AH18" t="str">
        <f>+IFERROR(IF(ISBLANK(VLOOKUP(CONCATENATE($F18,"_",AH$4),Oficinas_2,MATCH(AH$3,Oficinas!$F$26:$O$26,0),0)),"",VLOOKUP(CONCATENATE($F18,"_",AH$4),Oficinas_2,MATCH(AH$3,Oficinas!$F$26:$O$26,0),0)),"")</f>
        <v>N/A</v>
      </c>
      <c r="AI18">
        <f>+IFERROR(IF(ISBLANK(VLOOKUP(CONCATENATE($F18,"_",AI$4),Oficinas_2,MATCH(AI$3,Oficinas!$F$26:$O$26,0),0)),"",VLOOKUP(CONCATENATE($F18,"_",AI$4),Oficinas_2,MATCH(AI$3,Oficinas!$F$26:$O$26,0),0)),"")</f>
        <v>0</v>
      </c>
      <c r="AJ18">
        <f>+IFERROR(IF(ISBLANK(VLOOKUP(CONCATENATE($F18,"_",AJ$4),Oficinas_2,MATCH(AJ$3,Oficinas!$F$26:$O$26,0),0)),"",VLOOKUP(CONCATENATE($F18,"_",AJ$4),Oficinas_2,MATCH(AJ$3,Oficinas!$F$26:$O$26,0),0)),"")</f>
        <v>0</v>
      </c>
      <c r="AK18" t="str">
        <f>+IFERROR(IF(ISBLANK(VLOOKUP(CONCATENATE($F18,"_",AK$4),Oficinas_2,MATCH(AK$3,Oficinas!$F$26:$O$26,0),0)),"",VLOOKUP(CONCATENATE($F18,"_",AK$4),Oficinas_2,MATCH(AK$3,Oficinas!$F$26:$O$26,0),0)),"")</f>
        <v>N/A</v>
      </c>
      <c r="AL18" t="str">
        <f>+IFERROR(IF(ISBLANK(VLOOKUP(CONCATENATE($F18,"_",AL$4),Oficinas_2,MATCH(AL$3,Oficinas!$F$26:$O$26,0),0)),"",VLOOKUP(CONCATENATE($F18,"_",AL$4),Oficinas_2,MATCH(AL$3,Oficinas!$F$26:$O$26,0),0)),"")</f>
        <v>N/A</v>
      </c>
      <c r="AM18" t="str">
        <f>+IFERROR(IF(ISBLANK(VLOOKUP(CONCATENATE($F18,"_",AM$4),Oficinas_2,MATCH(AM$3,Oficinas!$F$26:$O$26,0),0)),"",VLOOKUP(CONCATENATE($F18,"_",AM$4),Oficinas_2,MATCH(AM$3,Oficinas!$F$26:$O$26,0),0)),"")</f>
        <v>N/A</v>
      </c>
      <c r="AN18">
        <f>+IFERROR(IF(ISBLANK(VLOOKUP(CONCATENATE($F18,"_",AN$4),Oficinas_2,MATCH(AN$3,Oficinas!$F$26:$O$26,0),0)),"",VLOOKUP(CONCATENATE($F18,"_",AN$4),Oficinas_2,MATCH(AN$3,Oficinas!$F$26:$O$26,0),0)),"")</f>
        <v>0</v>
      </c>
      <c r="AO18">
        <f>+IFERROR(IF(ISBLANK(VLOOKUP(CONCATENATE($F18,"_",AO$4),Oficinas_2,MATCH(AO$3,Oficinas!$F$26:$O$26,0),0)),"",VLOOKUP(CONCATENATE($F18,"_",AO$4),Oficinas_2,MATCH(AO$3,Oficinas!$F$26:$O$26,0),0)),"")</f>
        <v>0</v>
      </c>
      <c r="AP18" t="str">
        <f>+IFERROR(IF(ISBLANK(VLOOKUP(CONCATENATE($F18,"_",AP$4),Oficinas_2,MATCH(AP$3,Oficinas!$F$26:$O$26,0),0)),"",VLOOKUP(CONCATENATE($F18,"_",AP$4),Oficinas_2,MATCH(AP$3,Oficinas!$F$26:$O$26,0),0)),"")</f>
        <v>N/A</v>
      </c>
      <c r="AQ18" t="str">
        <f>+IFERROR(IF(ISBLANK(VLOOKUP(CONCATENATE($F18,"_",AQ$4),Oficinas_2,MATCH(AQ$3,Oficinas!$F$26:$O$26,0),0)),"",VLOOKUP(CONCATENATE($F18,"_",AQ$4),Oficinas_2,MATCH(AQ$3,Oficinas!$F$26:$O$26,0),0)),"")</f>
        <v>N/A</v>
      </c>
      <c r="AR18" t="str">
        <f>+IFERROR(IF(ISBLANK(VLOOKUP(CONCATENATE($F18,"_",AR$4),Oficinas_2,MATCH(AR$3,Oficinas!$F$26:$O$26,0),0)),"",VLOOKUP(CONCATENATE($F18,"_",AR$4),Oficinas_2,MATCH(AR$3,Oficinas!$F$26:$O$26,0),0)),"")</f>
        <v>N/A</v>
      </c>
      <c r="AS18">
        <f>+IFERROR(IF(ISBLANK(VLOOKUP(CONCATENATE($F18,"_",AS$4),Oficinas_2,MATCH(AS$3,Oficinas!$F$26:$O$26,0),0)),"",VLOOKUP(CONCATENATE($F18,"_",AS$4),Oficinas_2,MATCH(AS$3,Oficinas!$F$26:$O$26,0),0)),"")</f>
        <v>11</v>
      </c>
      <c r="AT18">
        <f>+IFERROR(IF(ISBLANK(VLOOKUP(CONCATENATE($F18,"_",AT$4),Oficinas_2,MATCH(AT$3,Oficinas!$F$26:$O$26,0),0)),"",VLOOKUP(CONCATENATE($F18,"_",AT$4),Oficinas_2,MATCH(AT$3,Oficinas!$F$26:$O$26,0),0)),"")</f>
        <v>17</v>
      </c>
      <c r="AU18" t="str">
        <f>+IFERROR(IF(ISBLANK(VLOOKUP(CONCATENATE($F18,"_",AU$4),Oficinas_2,MATCH(AU$3,Oficinas!$F$26:$O$26,0),0)),"",VLOOKUP(CONCATENATE($F18,"_",AU$4),Oficinas_2,MATCH(AU$3,Oficinas!$F$26:$O$26,0),0)),"")</f>
        <v>Del total de auditorias programadas se ejecutaron las sigueintes: 1. Asesoria Tecnica ATIC
2. Impresos y registro distrital
3. Control Interno Disciplinario
4. Estrategia de Tecnologia de la Informacion
5. Gestión JurÍdica
6. Administracion y Gestion publica
7. Servicios Adminsitrativos
8. Atención de victimas
9. Infraestructura Recursos Tecnologicos
10. Gestion Financiera
11. Gestión Documental Interna</v>
      </c>
      <c r="AV18" t="str">
        <f>+IFERROR(IF(ISBLANK(VLOOKUP(CONCATENATE($F18,"_",AV$4),Oficinas_2,MATCH(AV$3,Oficinas!$F$26:$O$26,0),0)),"",VLOOKUP(CONCATENATE($F18,"_",AV$4),Oficinas_2,MATCH(AV$3,Oficinas!$F$26:$O$26,0),0)),"")</f>
        <v>Teniendo en cuenta la situacion de confinamiento obligatorio, se vio la necesidad de reprogramar algunas auditorias, ya que los lideres de los procesos o equipo de auditor presentaban agendas con varias asignaciones, por lo anterior no se ejecutaron la totalidad de auditorias programadas, sin embargo, estas se ejecutaran en junio 2020.</v>
      </c>
      <c r="AW18" t="str">
        <f>+IFERROR(IF(ISBLANK(VLOOKUP(CONCATENATE($F18,"_",AW$4),Oficinas_2,MATCH(AW$3,Oficinas!$F$26:$O$26,0),0)),"",VLOOKUP(CONCATENATE($F18,"_",AW$4),Oficinas_2,MATCH(AW$3,Oficinas!$F$26:$O$26,0),0)),"")</f>
        <v>1. Contribuye al mejoramiento de la calidad dirigido al usuario que requiere de los productos o servicio ofrecidos por la Entidad.
2. Promueve la mejora continua de los procesos de la organización
3. Tomar medidas frente a fallos existentes en los diferentes procesos.</v>
      </c>
      <c r="AX18">
        <f>+IFERROR(IF(ISBLANK(VLOOKUP(CONCATENATE($F18,"_",AX$4),Oficinas_2,MATCH(AX$3,Oficinas!$F$26:$O$26,0),0)),"",VLOOKUP(CONCATENATE($F18,"_",AX$4),Oficinas_2,MATCH(AX$3,Oficinas!$F$26:$O$26,0),0)),"")</f>
        <v>11</v>
      </c>
      <c r="AY18">
        <f>+IFERROR(IF(ISBLANK(VLOOKUP(CONCATENATE($F18,"_",AY$4),Oficinas_2,MATCH(AY$3,Oficinas!$F$26:$O$26,0),0)),"",VLOOKUP(CONCATENATE($F18,"_",AY$4),Oficinas_2,MATCH(AY$3,Oficinas!$F$26:$O$26,0),0)),"")</f>
        <v>5</v>
      </c>
      <c r="AZ18" t="str">
        <f>+IFERROR(IF(ISBLANK(VLOOKUP(CONCATENATE($F18,"_",AZ$4),Oficinas_2,MATCH(AZ$3,Oficinas!$F$26:$O$26,0),0)),"",VLOOKUP(CONCATENATE($F18,"_",AZ$4),Oficinas_2,MATCH(AZ$3,Oficinas!$F$26:$O$26,0),0)),"")</f>
        <v>Para el mes de mayo se encontraban programadas 17 auditorías de las cuales se ejecutaron 11 de estas, sin embargo, en el mes de junio se realizaron las restantes 7 de mayo y se culminaron las auditorías a los 22 proceso de la entidad, los informes se relacionan a continuación: 1. Seguridad y salud en el trabajo, 2 Política pública, 3 Recursos Físicos, 4 Función Archivística, 5 Internacionalización de Bogotá, 6 Direccionamiento Estratégico, 7 Comunicación Publica, 8 Talento Humano, 9 Servicio a la ciudadanía, 10 Contratación y 11 Control Interno.</v>
      </c>
      <c r="BA18" t="str">
        <f>+IFERROR(IF(ISBLANK(VLOOKUP(CONCATENATE($F18,"_",BA$4),Oficinas_2,MATCH(BA$3,Oficinas!$F$26:$O$26,0),0)),"",VLOOKUP(CONCATENATE($F18,"_",BA$4),Oficinas_2,MATCH(BA$3,Oficinas!$F$26:$O$26,0),0)),"")</f>
        <v>No se presentaron dificultades</v>
      </c>
      <c r="BB18" t="str">
        <f>+IFERROR(IF(ISBLANK(VLOOKUP(CONCATENATE($F18,"_",BB$4),Oficinas_2,MATCH(BB$3,Oficinas!$F$26:$O$26,0),0)),"",VLOOKUP(CONCATENATE($F18,"_",BB$4),Oficinas_2,MATCH(BB$3,Oficinas!$F$26:$O$26,0),0)),"")</f>
        <v>1. Contribuye al mejoramiento de la calidad dirigido al usuario que requiere de los productos o servicio ofrecidos por la Entidad.
2. Promueve la mejora continua de los procesos de la organización
3. Tomar medidas frente a fallos existentes en los diferentes procesos.</v>
      </c>
      <c r="BC18">
        <f t="shared" si="10"/>
        <v>22</v>
      </c>
      <c r="BD18">
        <f t="shared" si="10"/>
        <v>22</v>
      </c>
      <c r="BE18" s="129" t="str">
        <f>+IFERROR(IF(ISBLANK(VLOOKUP(CONCATENATE($F18,"_",BE$4),P1125_4,MATCH(BE$3,PAAC!$E$19:$M$19,0),0)),"",VLOOKUP(CONCATENATE($F18,"_",BE$4),P1125_4,MATCH(BE$3,PAAC!$E$19:$M$19,0),0)),"")</f>
        <v/>
      </c>
      <c r="BF18" s="129" t="str">
        <f>+IFERROR(IF(ISBLANK(VLOOKUP(CONCATENATE($F18,"_",BF$4),P1125_4,MATCH(BF$3,PAAC!$E$19:$M$19,0),0)),"",VLOOKUP(CONCATENATE($F18,"_",BF$4),P1125_4,MATCH(BF$3,PAAC!$E$19:$M$19,0),0)),"")</f>
        <v/>
      </c>
      <c r="BG18" s="129" t="str">
        <f>+IFERROR(IF(ISBLANK(VLOOKUP(CONCATENATE($F18,"_",BG$4),P1125_4,MATCH(BG$3,PAAC!$E$19:$M$19,0),0)),"",VLOOKUP(CONCATENATE($F18,"_",BG$4),P1125_4,MATCH(BG$3,PAAC!$E$19:$M$19,0),0)),"")</f>
        <v/>
      </c>
      <c r="BH18" s="129" t="str">
        <f>+IFERROR(IF(ISBLANK(VLOOKUP(CONCATENATE($F18,"_",BH$4),P1125_4,MATCH(BH$3,PAAC!$E$19:$M$19,0),0)),"",VLOOKUP(CONCATENATE($F18,"_",BH$4),P1125_4,MATCH(BH$3,PAAC!$E$19:$M$19,0),0)),"")</f>
        <v/>
      </c>
      <c r="BI18" s="129" t="str">
        <f>+IFERROR(IF(ISBLANK(VLOOKUP(CONCATENATE($F18,"_",BI$4),P1125_4,MATCH(BI$3,PAAC!$E$19:$M$19,0),0)),"",VLOOKUP(CONCATENATE($F18,"_",BI$4),P1125_4,MATCH(BI$3,PAAC!$E$19:$M$19,0),0)),"")</f>
        <v/>
      </c>
      <c r="BJ18" s="129" t="str">
        <f>+IFERROR(IF(ISBLANK(VLOOKUP(CONCATENATE($F18,"_",BJ$4),P1125_4,MATCH(BJ$3,PAAC!$E$19:$M$19,0),0)),"",VLOOKUP(CONCATENATE($F18,"_",BJ$4),P1125_4,MATCH(BJ$3,PAAC!$E$19:$M$19,0),0)),"")</f>
        <v/>
      </c>
      <c r="BK18" s="129" t="str">
        <f>+IFERROR(IF(ISBLANK(VLOOKUP(CONCATENATE($F18,"_",BK$4),P1125_4,MATCH(BK$3,PAAC!$E$19:$M$19,0),0)),"",VLOOKUP(CONCATENATE($F18,"_",BK$4),P1125_4,MATCH(BK$3,PAAC!$E$19:$M$19,0),0)),"")</f>
        <v/>
      </c>
      <c r="BL18" s="129" t="str">
        <f>+IFERROR(IF(ISBLANK(VLOOKUP(CONCATENATE($F18,"_",BL$4),P1125_4,MATCH(BL$3,PAAC!$E$19:$M$19,0),0)),"",VLOOKUP(CONCATENATE($F18,"_",BL$4),P1125_4,MATCH(BL$3,PAAC!$E$19:$M$19,0),0)),"")</f>
        <v/>
      </c>
      <c r="BM18" s="129" t="str">
        <f>+IFERROR(IF(ISBLANK(VLOOKUP(CONCATENATE($F18,"_",BM$4),P1125_4,MATCH(BM$3,PAAC!$E$19:$M$19,0),0)),"",VLOOKUP(CONCATENATE($F18,"_",BM$4),P1125_4,MATCH(BM$3,PAAC!$E$19:$M$19,0),0)),"")</f>
        <v/>
      </c>
      <c r="BN18" s="129" t="str">
        <f>+IFERROR(IF(ISBLANK(VLOOKUP(CONCATENATE($F18,"_",BN$4),P1125_4,MATCH(BN$3,PAAC!$E$19:$M$19,0),0)),"",VLOOKUP(CONCATENATE($F18,"_",BN$4),P1125_4,MATCH(BN$3,PAAC!$E$19:$M$19,0),0)),"")</f>
        <v/>
      </c>
      <c r="BO18" s="129" t="str">
        <f>+IFERROR(IF(ISBLANK(VLOOKUP(CONCATENATE($F18,"_",BO$4),P1125_4,MATCH(BO$3,PAAC!$E$19:$M$19,0),0)),"",VLOOKUP(CONCATENATE($F18,"_",BO$4),P1125_4,MATCH(BO$3,PAAC!$E$19:$M$19,0),0)),"")</f>
        <v/>
      </c>
      <c r="BP18" s="129" t="str">
        <f>+IFERROR(IF(ISBLANK(VLOOKUP(CONCATENATE($F18,"_",BP$4),P1125_4,MATCH(BP$3,PAAC!$E$19:$M$19,0),0)),"",VLOOKUP(CONCATENATE($F18,"_",BP$4),P1125_4,MATCH(BP$3,PAAC!$E$19:$M$19,0),0)),"")</f>
        <v/>
      </c>
      <c r="BQ18" s="129" t="str">
        <f>+IFERROR(IF(ISBLANK(VLOOKUP(CONCATENATE($F18,"_",BQ$4),P1125_4,MATCH(BQ$3,PAAC!$E$19:$M$19,0),0)),"",VLOOKUP(CONCATENATE($F18,"_",BQ$4),P1125_4,MATCH(BQ$3,PAAC!$E$19:$M$19,0),0)),"")</f>
        <v/>
      </c>
      <c r="BR18" s="129" t="str">
        <f>+IFERROR(IF(ISBLANK(VLOOKUP(CONCATENATE($F18,"_",BR$4),P1125_4,MATCH(BR$3,PAAC!$E$19:$M$19,0),0)),"",VLOOKUP(CONCATENATE($F18,"_",BR$4),P1125_4,MATCH(BR$3,PAAC!$E$19:$M$19,0),0)),"")</f>
        <v/>
      </c>
      <c r="BS18" s="129" t="str">
        <f>+IFERROR(IF(ISBLANK(VLOOKUP(CONCATENATE($F18,"_",BS$4),P1125_4,MATCH(BS$3,PAAC!$E$19:$M$19,0),0)),"",VLOOKUP(CONCATENATE($F18,"_",BS$4),P1125_4,MATCH(BS$3,PAAC!$E$19:$M$19,0),0)),"")</f>
        <v/>
      </c>
      <c r="BT18" s="129" t="str">
        <f>+IFERROR(IF(ISBLANK(VLOOKUP(CONCATENATE($F18,"_",BT$4),P1125_4,MATCH(BT$3,PAAC!$E$19:$M$19,0),0)),"",VLOOKUP(CONCATENATE($F18,"_",BT$4),P1125_4,MATCH(BT$3,PAAC!$E$19:$M$19,0),0)),"")</f>
        <v/>
      </c>
      <c r="BU18" s="129" t="str">
        <f>+IFERROR(IF(ISBLANK(VLOOKUP(CONCATENATE($F18,"_",BU$4),P1125_4,MATCH(BU$3,PAAC!$E$19:$M$19,0),0)),"",VLOOKUP(CONCATENATE($F18,"_",BU$4),P1125_4,MATCH(BU$3,PAAC!$E$19:$M$19,0),0)),"")</f>
        <v/>
      </c>
      <c r="BV18" s="129" t="str">
        <f>+IFERROR(IF(ISBLANK(VLOOKUP(CONCATENATE($F18,"_",BV$4),P1125_4,MATCH(BV$3,PAAC!$E$19:$M$19,0),0)),"",VLOOKUP(CONCATENATE($F18,"_",BV$4),P1125_4,MATCH(BV$3,PAAC!$E$19:$M$19,0),0)),"")</f>
        <v/>
      </c>
      <c r="BW18" s="129" t="str">
        <f>+IFERROR(IF(ISBLANK(VLOOKUP(CONCATENATE($F18,"_",BW$4),P1125_4,MATCH(BW$3,PAAC!$E$19:$M$19,0),0)),"",VLOOKUP(CONCATENATE($F18,"_",BW$4),P1125_4,MATCH(BW$3,PAAC!$E$19:$M$19,0),0)),"")</f>
        <v/>
      </c>
      <c r="BX18" s="129" t="str">
        <f>+IFERROR(IF(ISBLANK(VLOOKUP(CONCATENATE($F18,"_",BX$4),P1125_4,MATCH(BX$3,PAAC!$E$19:$M$19,0),0)),"",VLOOKUP(CONCATENATE($F18,"_",BX$4),P1125_4,MATCH(BX$3,PAAC!$E$19:$M$19,0),0)),"")</f>
        <v/>
      </c>
      <c r="BY18" s="129" t="str">
        <f>+IFERROR(IF(ISBLANK(VLOOKUP(CONCATENATE($F18,"_",BY$4),P1125_4,MATCH(BY$3,PAAC!$E$19:$M$19,0),0)),"",VLOOKUP(CONCATENATE($F18,"_",BY$4),P1125_4,MATCH(BY$3,PAAC!$E$19:$M$19,0),0)),"")</f>
        <v/>
      </c>
      <c r="BZ18" s="129" t="str">
        <f>+IFERROR(IF(ISBLANK(VLOOKUP(CONCATENATE($F18,"_",BZ$4),P1125_4,MATCH(BZ$3,PAAC!$E$19:$M$19,0),0)),"",VLOOKUP(CONCATENATE($F18,"_",BZ$4),P1125_4,MATCH(BZ$3,PAAC!$E$19:$M$19,0),0)),"")</f>
        <v/>
      </c>
      <c r="CA18" s="129" t="str">
        <f>+IFERROR(IF(ISBLANK(VLOOKUP(CONCATENATE($F18,"_",CA$4),P1125_4,MATCH(CA$3,PAAC!$E$19:$M$19,0),0)),"",VLOOKUP(CONCATENATE($F18,"_",CA$4),P1125_4,MATCH(CA$3,PAAC!$E$19:$M$19,0),0)),"")</f>
        <v/>
      </c>
      <c r="CB18" s="129" t="str">
        <f>+IFERROR(IF(ISBLANK(VLOOKUP(CONCATENATE($F18,"_",CB$4),P1125_4,MATCH(CB$3,PAAC!$E$19:$M$19,0),0)),"",VLOOKUP(CONCATENATE($F18,"_",CB$4),P1125_4,MATCH(CB$3,PAAC!$E$19:$M$19,0),0)),"")</f>
        <v/>
      </c>
      <c r="CC18" s="129" t="str">
        <f>+IFERROR(IF(ISBLANK(VLOOKUP(CONCATENATE($F18,"_",CC$4),P1125_4,MATCH(CC$3,PAAC!$E$19:$M$19,0),0)),"",VLOOKUP(CONCATENATE($F18,"_",CC$4),P1125_4,MATCH(CC$3,PAAC!$E$19:$M$19,0),0)),"")</f>
        <v/>
      </c>
      <c r="CD18" s="129" t="str">
        <f t="shared" si="11"/>
        <v/>
      </c>
      <c r="CE18" s="129" t="str">
        <f t="shared" si="3"/>
        <v/>
      </c>
      <c r="CF18" s="129" t="str">
        <f t="shared" si="4"/>
        <v/>
      </c>
      <c r="CG18" s="129" t="str">
        <f t="shared" si="5"/>
        <v/>
      </c>
      <c r="CH18" s="129" t="str">
        <f t="shared" si="6"/>
        <v/>
      </c>
      <c r="CI18" t="str">
        <f t="shared" si="18"/>
        <v>Cumple</v>
      </c>
      <c r="CJ18" t="str">
        <f t="shared" si="18"/>
        <v>Insuficiente</v>
      </c>
      <c r="CK18" t="str">
        <f t="shared" si="18"/>
        <v>Adecuado</v>
      </c>
      <c r="CL18" t="str">
        <f t="shared" si="18"/>
        <v>Coherente</v>
      </c>
      <c r="CM18" t="str">
        <f t="shared" si="18"/>
        <v>Concuerda</v>
      </c>
      <c r="CN18" t="str">
        <f t="shared" si="18"/>
        <v>Concuerda</v>
      </c>
      <c r="CO18" t="str">
        <f t="shared" si="18"/>
        <v>Relación directa</v>
      </c>
      <c r="CP18" t="str">
        <f t="shared" si="18"/>
        <v>Adecuado</v>
      </c>
      <c r="CQ18" t="str">
        <f t="shared" si="18"/>
        <v>Oportuna</v>
      </c>
      <c r="CR18" t="str">
        <f t="shared" si="18"/>
        <v>C2. En atención a la reprogramación de auditorías, se requiere efectuar seguimiento periódico en el mes de junio, para efectivamente ejecutar las 22 auditorías programadas.</v>
      </c>
      <c r="CS18" t="str">
        <f t="shared" si="19"/>
        <v>Cesar Arcos</v>
      </c>
      <c r="CT18" t="str">
        <f t="shared" si="19"/>
        <v>Cumple</v>
      </c>
      <c r="CU18" t="str">
        <f t="shared" si="19"/>
        <v>Cumplido</v>
      </c>
      <c r="CV18" t="str">
        <f t="shared" si="19"/>
        <v>Adecuado</v>
      </c>
      <c r="CW18" t="str">
        <f t="shared" si="19"/>
        <v>Coherente</v>
      </c>
      <c r="CX18" t="str">
        <f t="shared" si="19"/>
        <v>Concuerda</v>
      </c>
      <c r="CY18" t="str">
        <f t="shared" si="19"/>
        <v>Concuerda</v>
      </c>
      <c r="CZ18" t="str">
        <f t="shared" si="19"/>
        <v>Relación directa</v>
      </c>
      <c r="DA18" t="str">
        <f t="shared" si="19"/>
        <v>Adecuado</v>
      </c>
      <c r="DB18" t="str">
        <f t="shared" si="19"/>
        <v>Oportuna</v>
      </c>
      <c r="DC18" t="str">
        <f t="shared" si="20"/>
        <v>No se tienen observaciones.</v>
      </c>
      <c r="DD18" t="str">
        <f t="shared" si="20"/>
        <v>Cesar Arcos</v>
      </c>
      <c r="DE18" t="e">
        <f t="shared" si="20"/>
        <v>#REF!</v>
      </c>
      <c r="DF18" t="e">
        <f t="shared" si="20"/>
        <v>#REF!</v>
      </c>
      <c r="DG18" t="e">
        <f t="shared" si="20"/>
        <v>#REF!</v>
      </c>
      <c r="DH18" t="e">
        <f t="shared" si="20"/>
        <v>#REF!</v>
      </c>
      <c r="DI18" t="e">
        <f t="shared" si="20"/>
        <v>#REF!</v>
      </c>
      <c r="DJ18" t="e">
        <f t="shared" si="20"/>
        <v>#REF!</v>
      </c>
      <c r="DK18" t="e">
        <f t="shared" si="20"/>
        <v>#REF!</v>
      </c>
      <c r="DL18" t="e">
        <f t="shared" si="20"/>
        <v>#REF!</v>
      </c>
      <c r="DM18" t="e">
        <f t="shared" si="21"/>
        <v>#REF!</v>
      </c>
      <c r="DN18" t="e">
        <f t="shared" si="21"/>
        <v>#REF!</v>
      </c>
      <c r="DO18" t="e">
        <f t="shared" si="21"/>
        <v>#REF!</v>
      </c>
      <c r="DP18" t="e">
        <f t="shared" si="21"/>
        <v>#REF!</v>
      </c>
      <c r="DQ18" t="e">
        <f t="shared" si="21"/>
        <v>#REF!</v>
      </c>
      <c r="DR18" t="e">
        <f t="shared" si="21"/>
        <v>#REF!</v>
      </c>
      <c r="DS18" t="e">
        <f t="shared" si="21"/>
        <v>#REF!</v>
      </c>
      <c r="DT18" t="e">
        <f t="shared" si="21"/>
        <v>#REF!</v>
      </c>
      <c r="DU18" t="e">
        <f t="shared" si="21"/>
        <v>#REF!</v>
      </c>
      <c r="DV18" t="e">
        <f t="shared" si="21"/>
        <v>#REF!</v>
      </c>
      <c r="DW18" t="e">
        <f t="shared" si="21"/>
        <v>#REF!</v>
      </c>
      <c r="DX18" t="e">
        <f t="shared" si="21"/>
        <v>#REF!</v>
      </c>
    </row>
    <row r="19" spans="1:128" x14ac:dyDescent="0.3">
      <c r="A19" s="423" t="str">
        <f t="shared" si="16"/>
        <v>136A</v>
      </c>
      <c r="B19" t="str">
        <f t="shared" si="17"/>
        <v>2_Oficina de Control Interno</v>
      </c>
      <c r="C19">
        <f t="shared" si="8"/>
        <v>2</v>
      </c>
      <c r="D19" t="str">
        <f t="shared" si="0"/>
        <v>Oficina de Control Interno</v>
      </c>
      <c r="E19" t="str">
        <f t="shared" si="1"/>
        <v>oci</v>
      </c>
      <c r="F19" s="208" t="str">
        <f>Oficinas!D17</f>
        <v>136A</v>
      </c>
      <c r="G19" t="str">
        <f t="shared" si="2"/>
        <v>Constante</v>
      </c>
      <c r="H19" t="str">
        <f t="shared" si="2"/>
        <v>Porcentaje</v>
      </c>
      <c r="I19">
        <f t="shared" si="2"/>
        <v>1</v>
      </c>
      <c r="J19">
        <f t="shared" si="2"/>
        <v>1</v>
      </c>
      <c r="K19" t="str">
        <f>+IFERROR(VLOOKUP($F19,Oficinas_1,MATCH(K$5,Oficinas!$D$9:$V$9,0),0),"")</f>
        <v>Suma</v>
      </c>
      <c r="L19">
        <f>+IFERROR(VLOOKUP($F19,Oficinas_1,MATCH(L$5,Oficinas!$D$9:$V$9,0),0),"")</f>
        <v>45</v>
      </c>
      <c r="M19">
        <f t="shared" si="9"/>
        <v>20</v>
      </c>
      <c r="N19">
        <f>+IFERROR(VLOOKUP($F19,Oficinas_1,MATCH(N$5,Oficinas!$D$9:$V$9,0),0),"")</f>
        <v>6</v>
      </c>
      <c r="O19">
        <f>+IFERROR(VLOOKUP($F19,Oficinas_1,MATCH(O$5,Oficinas!$D$9:$V$9,0),0),"")</f>
        <v>8</v>
      </c>
      <c r="P19">
        <f>+IFERROR(VLOOKUP($F19,Oficinas_1,MATCH(P$5,Oficinas!$D$9:$V$9,0),0),"")</f>
        <v>6</v>
      </c>
      <c r="Q19">
        <f>+IFERROR(VLOOKUP($F19,Oficinas_1,MATCH(Q$5,Oficinas!$D$9:$V$9,0),0),"")</f>
        <v>11</v>
      </c>
      <c r="R19">
        <f>+IFERROR(VLOOKUP($F19,Oficinas_1,MATCH(R$5,Oficinas!$D$9:$V$9,0),0),"")</f>
        <v>10</v>
      </c>
      <c r="S19">
        <f>+IFERROR(VLOOKUP($F19,Oficinas_1,MATCH(S$5,Oficinas!$D$9:$V$9,0),0),"")</f>
        <v>4</v>
      </c>
      <c r="T19">
        <f>+IFERROR(VLOOKUP($F19,Oficinas_1,MATCH(T$5,Oficinas!$D$9:$V$9,0),0),"")</f>
        <v>100</v>
      </c>
      <c r="U19" t="str">
        <f>+IFERROR(VLOOKUP($F19,Oficinas_1,MATCH(U$5,Oficinas!$D$9:$V$9,0),0),"")</f>
        <v>El indicador mide el grado de avance en la ejecución de las evaluaciones y seguimientos del Plan Anual de Auditorías realizados en el periodo, con respecto a la programación de la vigencia.</v>
      </c>
      <c r="V19" t="str">
        <f>+IFERROR(VLOOKUP($F19,Oficinas_1,MATCH(V$5,Oficinas!$D$9:$V$9,0),0),"")</f>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
      <c r="W19" t="str">
        <f>+IFERROR(VLOOKUP($F19,Oficinas_1,MATCH(W$5,Oficinas!$D$9:$V$9,0),0),"")</f>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
      <c r="X19" t="str">
        <f>+IFERROR(VLOOKUP($F19,Oficinas_1,MATCH(X$5,Oficinas!$D$9:$V$9,0),0),"")</f>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
      <c r="Y19">
        <f>+IFERROR(IF(ISBLANK(VLOOKUP(CONCATENATE($F19,"_",Y$4),Oficinas_2,MATCH(Y$3,Oficinas!$F$26:$O$26,0),0)),"",VLOOKUP(CONCATENATE($F19,"_",Y$4),Oficinas_2,MATCH(Y$3,Oficinas!$F$26:$O$26,0),0)),"")</f>
        <v>6</v>
      </c>
      <c r="Z19">
        <f>+IFERROR(IF(ISBLANK(VLOOKUP(CONCATENATE($F19,"_",Z$4),Oficinas_2,MATCH(Z$3,Oficinas!$F$26:$O$26,0),0)),"",VLOOKUP(CONCATENATE($F19,"_",Z$4),Oficinas_2,MATCH(Z$3,Oficinas!$F$26:$O$26,0),0)),"")</f>
        <v>6</v>
      </c>
      <c r="AA19" t="str">
        <f>+IFERROR(IF(ISBLANK(VLOOKUP(CONCATENATE($F19,"_",AA$4),Oficinas_2,MATCH(AA$3,Oficinas!$F$26:$O$26,0),0)),"",VLOOKUP(CONCATENATE($F19,"_",AA$4),Oficinas_2,MATCH(AA$3,Oficinas!$F$26:$O$26,0),0)),"")</f>
        <v>En el mes de enero se dio cumplimiento a la totalidad de actividades programadas las cuales atendieron a: Informe Gestión Judicial II semestre 2019, Informe Seguimiento Comité Conciliación III Trim 2019, Informe Seguimiento PAAC Corte 31122019, Informe Monitoreo Riesgos de Corrupción Entidad III cuatrimestre de 2019, Informe Seguimiento Contingente Judicial IV Trim 2019 y Evaluación Control Interno Contable  2019.</v>
      </c>
      <c r="AB19" t="str">
        <f>+IFERROR(IF(ISBLANK(VLOOKUP(CONCATENATE($F19,"_",AB$4),Oficinas_2,MATCH(AB$3,Oficinas!$F$26:$O$26,0),0)),"",VLOOKUP(CONCATENATE($F19,"_",AB$4),Oficinas_2,MATCH(AB$3,Oficinas!$F$26:$O$26,0),0)),"")</f>
        <v>No se presentaron retrasos ni dificultades para el cumplimiento de las actividades programadas.</v>
      </c>
      <c r="AC19" t="str">
        <f>+IFERROR(IF(ISBLANK(VLOOKUP(CONCATENATE($F19,"_",AC$4),Oficinas_2,MATCH(AC$3,Oficinas!$F$26:$O$26,0),0)),"",VLOOKUP(CONCATENATE($F19,"_",AC$4),Oficinas_2,MATCH(AC$3,Oficinas!$F$26:$O$26,0),0)),"")</f>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AD19">
        <f>+IFERROR(IF(ISBLANK(VLOOKUP(CONCATENATE($F19,"_",AD$4),Oficinas_2,MATCH(AD$3,Oficinas!$F$26:$O$26,0),0)),"",VLOOKUP(CONCATENATE($F19,"_",AD$4),Oficinas_2,MATCH(AD$3,Oficinas!$F$26:$O$26,0),0)),"")</f>
        <v>8</v>
      </c>
      <c r="AE19">
        <f>+IFERROR(IF(ISBLANK(VLOOKUP(CONCATENATE($F19,"_",AE$4),Oficinas_2,MATCH(AE$3,Oficinas!$F$26:$O$26,0),0)),"",VLOOKUP(CONCATENATE($F19,"_",AE$4),Oficinas_2,MATCH(AE$3,Oficinas!$F$26:$O$26,0),0)),"")</f>
        <v>8</v>
      </c>
      <c r="AF19" t="str">
        <f>+IFERROR(IF(ISBLANK(VLOOKUP(CONCATENATE($F19,"_",AF$4),Oficinas_2,MATCH(AF$3,Oficinas!$F$26:$O$26,0),0)),"",VLOOKUP(CONCATENATE($F19,"_",AF$4),Oficinas_2,MATCH(AF$3,Oficinas!$F$26:$O$26,0),0)),"")</f>
        <v>En el mes de enero se dio cumplimiento a la totalidad de actividades programadas las cuales atendieron a: Consolidación planes de mejoramiento auditorías internas, Informe Resultados Evaluación Institucional por Dependencias, Seguimiento Plan de Mejoramiento Contraloría corte 31 enero 2020, Seguimiento a la PQRD`S, Cuenta Anual Contraloría de Bogotá 2019, Pormenorizado del SCI II semestre 2019, Seguimiento a la ejecución contractual y presupuesta a 31 de Enero 2020 y Seguimiento Metas PDD Corte al 31 Dic 2019.</v>
      </c>
      <c r="AG19" t="str">
        <f>+IFERROR(IF(ISBLANK(VLOOKUP(CONCATENATE($F19,"_",AG$4),Oficinas_2,MATCH(AG$3,Oficinas!$F$26:$O$26,0),0)),"",VLOOKUP(CONCATENATE($F19,"_",AG$4),Oficinas_2,MATCH(AG$3,Oficinas!$F$26:$O$26,0),0)),"")</f>
        <v>No se presentaron retrasos ni dificultades para el cumplimiento de las actividades programadas.</v>
      </c>
      <c r="AH19" t="str">
        <f>+IFERROR(IF(ISBLANK(VLOOKUP(CONCATENATE($F19,"_",AH$4),Oficinas_2,MATCH(AH$3,Oficinas!$F$26:$O$26,0),0)),"",VLOOKUP(CONCATENATE($F19,"_",AH$4),Oficinas_2,MATCH(AH$3,Oficinas!$F$26:$O$26,0),0)),"")</f>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AI19">
        <f>+IFERROR(IF(ISBLANK(VLOOKUP(CONCATENATE($F19,"_",AI$4),Oficinas_2,MATCH(AI$3,Oficinas!$F$26:$O$26,0),0)),"",VLOOKUP(CONCATENATE($F19,"_",AI$4),Oficinas_2,MATCH(AI$3,Oficinas!$F$26:$O$26,0),0)),"")</f>
        <v>6</v>
      </c>
      <c r="AJ19">
        <f>+IFERROR(IF(ISBLANK(VLOOKUP(CONCATENATE($F19,"_",AJ$4),Oficinas_2,MATCH(AJ$3,Oficinas!$F$26:$O$26,0),0)),"",VLOOKUP(CONCATENATE($F19,"_",AJ$4),Oficinas_2,MATCH(AJ$3,Oficinas!$F$26:$O$26,0),0)),"")</f>
        <v>6</v>
      </c>
      <c r="AK19" t="str">
        <f>+IFERROR(IF(ISBLANK(VLOOKUP(CONCATENATE($F19,"_",AK$4),Oficinas_2,MATCH(AK$3,Oficinas!$F$26:$O$26,0),0)),"",VLOOKUP(CONCATENATE($F19,"_",AK$4),Oficinas_2,MATCH(AK$3,Oficinas!$F$26:$O$26,0),0)),"")</f>
        <v>En el mes de enero se dio cumplimiento a la totalidad de actividades programadas las cuales atendieron a: Ejecución Presupuestal y Contractual a 29 Feb 2020, Seguimiento Plan Mejoramiento Contraloría corte 28 febrero 2020, Auditoria Ley de Transparencia 1712 de 2014, Seguimiento Planes Mejoramiento Auditorías Internas corte Febrero 2020, Auditoria Proceso de Comunicación Pública y Seguimiento Subcomités de Autocontrol.</v>
      </c>
      <c r="AL19" t="str">
        <f>+IFERROR(IF(ISBLANK(VLOOKUP(CONCATENATE($F19,"_",AL$4),Oficinas_2,MATCH(AL$3,Oficinas!$F$26:$O$26,0),0)),"",VLOOKUP(CONCATENATE($F19,"_",AL$4),Oficinas_2,MATCH(AL$3,Oficinas!$F$26:$O$26,0),0)),"")</f>
        <v>No se presentaron retrasos ni dificultades para el cumplimiento de las actividades programadas.</v>
      </c>
      <c r="AM19" t="str">
        <f>+IFERROR(IF(ISBLANK(VLOOKUP(CONCATENATE($F19,"_",AM$4),Oficinas_2,MATCH(AM$3,Oficinas!$F$26:$O$26,0),0)),"",VLOOKUP(CONCATENATE($F19,"_",AM$4),Oficinas_2,MATCH(AM$3,Oficinas!$F$26:$O$26,0),0)),"")</f>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AN19">
        <f>+IFERROR(IF(ISBLANK(VLOOKUP(CONCATENATE($F19,"_",AN$4),Oficinas_2,MATCH(AN$3,Oficinas!$F$26:$O$26,0),0)),"",VLOOKUP(CONCATENATE($F19,"_",AN$4),Oficinas_2,MATCH(AN$3,Oficinas!$F$26:$O$26,0),0)),"")</f>
        <v>11</v>
      </c>
      <c r="AO19">
        <f>+IFERROR(IF(ISBLANK(VLOOKUP(CONCATENATE($F19,"_",AO$4),Oficinas_2,MATCH(AO$3,Oficinas!$F$26:$O$26,0),0)),"",VLOOKUP(CONCATENATE($F19,"_",AO$4),Oficinas_2,MATCH(AO$3,Oficinas!$F$26:$O$26,0),0)),"")</f>
        <v>11</v>
      </c>
      <c r="AP19" t="str">
        <f>+IFERROR(IF(ISBLANK(VLOOKUP(CONCATENATE($F19,"_",AP$4),Oficinas_2,MATCH(AP$3,Oficinas!$F$26:$O$26,0),0)),"",VLOOKUP(CONCATENATE($F19,"_",AP$4),Oficinas_2,MATCH(AP$3,Oficinas!$F$26:$O$26,0),0)),"")</f>
        <v>En el mes de enero se dio cumplimiento a la totalidad de actividades programadas las cuales atendieron a: Auditoria Proceso Gestión Estratégica del Talento Humano, Auditoría sobre Uso de Software y Derechos de Autor, Seguimiento Planes Mejoramiento Auditorías Internas corte Marzo 2020, Seguimiento Plan Mejoramiento Contraloría corte 31 marzo 2020, Auditoria Fortalecimiento a la Administración y la Gestión Pública Distrital, Seguimiento SIDEAP, Seguimiento a la ejecución contractual y presupuesta a 31 de marzo 2020, Seguimiento a las Medidas de Austeridad en el Gasto Corte 31. Dic 2019, Auditoria Sistema Distrital de Servicio a la Ciudadanía, Auditoria Asistencia, Atención y Reparación Integral a Víctimas del Conflicto armado e Implementación de Acciones de Memoria, Paz y Reconciliación en Bogotá y Seguimiento Contingente Judicia I Trim 2020.</v>
      </c>
      <c r="AQ19" t="str">
        <f>+IFERROR(IF(ISBLANK(VLOOKUP(CONCATENATE($F19,"_",AQ$4),Oficinas_2,MATCH(AQ$3,Oficinas!$F$26:$O$26,0),0)),"",VLOOKUP(CONCATENATE($F19,"_",AQ$4),Oficinas_2,MATCH(AQ$3,Oficinas!$F$26:$O$26,0),0)),"")</f>
        <v>No se presentaron retrasos ni dificultades para el cumplimiento de las actividades programadas.</v>
      </c>
      <c r="AR19" t="str">
        <f>+IFERROR(IF(ISBLANK(VLOOKUP(CONCATENATE($F19,"_",AR$4),Oficinas_2,MATCH(AR$3,Oficinas!$F$26:$O$26,0),0)),"",VLOOKUP(CONCATENATE($F19,"_",AR$4),Oficinas_2,MATCH(AR$3,Oficinas!$F$26:$O$26,0),0)),"")</f>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AS19">
        <f>+IFERROR(IF(ISBLANK(VLOOKUP(CONCATENATE($F19,"_",AS$4),Oficinas_2,MATCH(AS$3,Oficinas!$F$26:$O$26,0),0)),"",VLOOKUP(CONCATENATE($F19,"_",AS$4),Oficinas_2,MATCH(AS$3,Oficinas!$F$26:$O$26,0),0)),"")</f>
        <v>10</v>
      </c>
      <c r="AT19">
        <f>+IFERROR(IF(ISBLANK(VLOOKUP(CONCATENATE($F19,"_",AT$4),Oficinas_2,MATCH(AT$3,Oficinas!$F$26:$O$26,0),0)),"",VLOOKUP(CONCATENATE($F19,"_",AT$4),Oficinas_2,MATCH(AT$3,Oficinas!$F$26:$O$26,0),0)),"")</f>
        <v>10</v>
      </c>
      <c r="AU19" t="str">
        <f>+IFERROR(IF(ISBLANK(VLOOKUP(CONCATENATE($F19,"_",AU$4),Oficinas_2,MATCH(AU$3,Oficinas!$F$26:$O$26,0),0)),"",VLOOKUP(CONCATENATE($F19,"_",AU$4),Oficinas_2,MATCH(AU$3,Oficinas!$F$26:$O$26,0),0)),"")</f>
        <v>En el mes de enero se dio cumplimiento a la totalidad de actividades programadas las cuales atendieron a: Seguimiento al Plan Institucional de Gestión Ambiental – PIGA, Seguimiento Cumplimiento Directiva 03 de 2015, Auditoria Política de Riesgos, Seguimiento Planes Mejoramiento Auditorías Internas y Contraloría de Bogotá, Seguimiento medidas de austeridad en el Gasto I Trim 2020, Auditoria Gestión Documental, Seguimiento Mapas de Riesgos de Corrupción Entidad, Seguimiento PAAC, Auditoria Internacionalización y Auditoria Sistema Información Victimas del Distrito Capital –SIVIC.</v>
      </c>
      <c r="AV19" t="str">
        <f>+IFERROR(IF(ISBLANK(VLOOKUP(CONCATENATE($F19,"_",AV$4),Oficinas_2,MATCH(AV$3,Oficinas!$F$26:$O$26,0),0)),"",VLOOKUP(CONCATENATE($F19,"_",AV$4),Oficinas_2,MATCH(AV$3,Oficinas!$F$26:$O$26,0),0)),"")</f>
        <v>No se presentaron retrasos ni dificultades para el cumplimiento de las actividades programadas.</v>
      </c>
      <c r="AW19" t="str">
        <f>+IFERROR(IF(ISBLANK(VLOOKUP(CONCATENATE($F19,"_",AW$4),Oficinas_2,MATCH(AW$3,Oficinas!$F$26:$O$26,0),0)),"",VLOOKUP(CONCATENATE($F19,"_",AW$4),Oficinas_2,MATCH(AW$3,Oficinas!$F$26:$O$26,0),0)),"")</f>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AX19">
        <f>+IFERROR(IF(ISBLANK(VLOOKUP(CONCATENATE($F19,"_",AX$4),Oficinas_2,MATCH(AX$3,Oficinas!$F$26:$O$26,0),0)),"",VLOOKUP(CONCATENATE($F19,"_",AX$4),Oficinas_2,MATCH(AX$3,Oficinas!$F$26:$O$26,0),0)),"")</f>
        <v>4</v>
      </c>
      <c r="AY19">
        <f>+IFERROR(IF(ISBLANK(VLOOKUP(CONCATENATE($F19,"_",AY$4),Oficinas_2,MATCH(AY$3,Oficinas!$F$26:$O$26,0),0)),"",VLOOKUP(CONCATENATE($F19,"_",AY$4),Oficinas_2,MATCH(AY$3,Oficinas!$F$26:$O$26,0),0)),"")</f>
        <v>4</v>
      </c>
      <c r="AZ19" t="str">
        <f>+IFERROR(IF(ISBLANK(VLOOKUP(CONCATENATE($F19,"_",AZ$4),Oficinas_2,MATCH(AZ$3,Oficinas!$F$26:$O$26,0),0)),"",VLOOKUP(CONCATENATE($F19,"_",AZ$4),Oficinas_2,MATCH(AZ$3,Oficinas!$F$26:$O$26,0),0)),"")</f>
        <v>Según lo programado en el  Plan Anual de Auditoria de la vigencia 2020, para el mes de junio se encontraban programadas 4 actividades relacionadas con: Seguimiento plan de mejoramiento Interno y Contraloria, seguimiento Subcomites Autocontrol, Racionalizacion de tramites y Soporte Infraestructura, actividades que se ejecutaron en su totalidad.</v>
      </c>
      <c r="BA19" t="str">
        <f>+IFERROR(IF(ISBLANK(VLOOKUP(CONCATENATE($F19,"_",BA$4),Oficinas_2,MATCH(BA$3,Oficinas!$F$26:$O$26,0),0)),"",VLOOKUP(CONCATENATE($F19,"_",BA$4),Oficinas_2,MATCH(BA$3,Oficinas!$F$26:$O$26,0),0)),"")</f>
        <v>No se presentaron retrasos ni dificultades para el cumplimiento de las actividades programadas.</v>
      </c>
      <c r="BB19" t="str">
        <f>+IFERROR(IF(ISBLANK(VLOOKUP(CONCATENATE($F19,"_",BB$4),Oficinas_2,MATCH(BB$3,Oficinas!$F$26:$O$26,0),0)),"",VLOOKUP(CONCATENATE($F19,"_",BB$4),Oficinas_2,MATCH(BB$3,Oficinas!$F$26:$O$26,0),0)),"")</f>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BC19">
        <f t="shared" si="10"/>
        <v>45</v>
      </c>
      <c r="BD19">
        <f t="shared" si="10"/>
        <v>45</v>
      </c>
      <c r="BE19" s="129" t="str">
        <f>+IFERROR(IF(ISBLANK(VLOOKUP(CONCATENATE($F19,"_",BE$4),P1125_4,MATCH(BE$3,PAAC!$E$19:$M$19,0),0)),"",VLOOKUP(CONCATENATE($F19,"_",BE$4),P1125_4,MATCH(BE$3,PAAC!$E$19:$M$19,0),0)),"")</f>
        <v/>
      </c>
      <c r="BF19" s="129" t="str">
        <f>+IFERROR(IF(ISBLANK(VLOOKUP(CONCATENATE($F19,"_",BF$4),P1125_4,MATCH(BF$3,PAAC!$E$19:$M$19,0),0)),"",VLOOKUP(CONCATENATE($F19,"_",BF$4),P1125_4,MATCH(BF$3,PAAC!$E$19:$M$19,0),0)),"")</f>
        <v/>
      </c>
      <c r="BG19" s="129" t="str">
        <f>+IFERROR(IF(ISBLANK(VLOOKUP(CONCATENATE($F19,"_",BG$4),P1125_4,MATCH(BG$3,PAAC!$E$19:$M$19,0),0)),"",VLOOKUP(CONCATENATE($F19,"_",BG$4),P1125_4,MATCH(BG$3,PAAC!$E$19:$M$19,0),0)),"")</f>
        <v/>
      </c>
      <c r="BH19" s="129" t="str">
        <f>+IFERROR(IF(ISBLANK(VLOOKUP(CONCATENATE($F19,"_",BH$4),P1125_4,MATCH(BH$3,PAAC!$E$19:$M$19,0),0)),"",VLOOKUP(CONCATENATE($F19,"_",BH$4),P1125_4,MATCH(BH$3,PAAC!$E$19:$M$19,0),0)),"")</f>
        <v/>
      </c>
      <c r="BI19" s="129" t="str">
        <f>+IFERROR(IF(ISBLANK(VLOOKUP(CONCATENATE($F19,"_",BI$4),P1125_4,MATCH(BI$3,PAAC!$E$19:$M$19,0),0)),"",VLOOKUP(CONCATENATE($F19,"_",BI$4),P1125_4,MATCH(BI$3,PAAC!$E$19:$M$19,0),0)),"")</f>
        <v/>
      </c>
      <c r="BJ19" s="129" t="str">
        <f>+IFERROR(IF(ISBLANK(VLOOKUP(CONCATENATE($F19,"_",BJ$4),P1125_4,MATCH(BJ$3,PAAC!$E$19:$M$19,0),0)),"",VLOOKUP(CONCATENATE($F19,"_",BJ$4),P1125_4,MATCH(BJ$3,PAAC!$E$19:$M$19,0),0)),"")</f>
        <v/>
      </c>
      <c r="BK19" s="129" t="str">
        <f>+IFERROR(IF(ISBLANK(VLOOKUP(CONCATENATE($F19,"_",BK$4),P1125_4,MATCH(BK$3,PAAC!$E$19:$M$19,0),0)),"",VLOOKUP(CONCATENATE($F19,"_",BK$4),P1125_4,MATCH(BK$3,PAAC!$E$19:$M$19,0),0)),"")</f>
        <v/>
      </c>
      <c r="BL19" s="129" t="str">
        <f>+IFERROR(IF(ISBLANK(VLOOKUP(CONCATENATE($F19,"_",BL$4),P1125_4,MATCH(BL$3,PAAC!$E$19:$M$19,0),0)),"",VLOOKUP(CONCATENATE($F19,"_",BL$4),P1125_4,MATCH(BL$3,PAAC!$E$19:$M$19,0),0)),"")</f>
        <v/>
      </c>
      <c r="BM19" s="129" t="str">
        <f>+IFERROR(IF(ISBLANK(VLOOKUP(CONCATENATE($F19,"_",BM$4),P1125_4,MATCH(BM$3,PAAC!$E$19:$M$19,0),0)),"",VLOOKUP(CONCATENATE($F19,"_",BM$4),P1125_4,MATCH(BM$3,PAAC!$E$19:$M$19,0),0)),"")</f>
        <v/>
      </c>
      <c r="BN19" s="129" t="str">
        <f>+IFERROR(IF(ISBLANK(VLOOKUP(CONCATENATE($F19,"_",BN$4),P1125_4,MATCH(BN$3,PAAC!$E$19:$M$19,0),0)),"",VLOOKUP(CONCATENATE($F19,"_",BN$4),P1125_4,MATCH(BN$3,PAAC!$E$19:$M$19,0),0)),"")</f>
        <v/>
      </c>
      <c r="BO19" s="129" t="str">
        <f>+IFERROR(IF(ISBLANK(VLOOKUP(CONCATENATE($F19,"_",BO$4),P1125_4,MATCH(BO$3,PAAC!$E$19:$M$19,0),0)),"",VLOOKUP(CONCATENATE($F19,"_",BO$4),P1125_4,MATCH(BO$3,PAAC!$E$19:$M$19,0),0)),"")</f>
        <v/>
      </c>
      <c r="BP19" s="129" t="str">
        <f>+IFERROR(IF(ISBLANK(VLOOKUP(CONCATENATE($F19,"_",BP$4),P1125_4,MATCH(BP$3,PAAC!$E$19:$M$19,0),0)),"",VLOOKUP(CONCATENATE($F19,"_",BP$4),P1125_4,MATCH(BP$3,PAAC!$E$19:$M$19,0),0)),"")</f>
        <v/>
      </c>
      <c r="BQ19" s="129" t="str">
        <f>+IFERROR(IF(ISBLANK(VLOOKUP(CONCATENATE($F19,"_",BQ$4),P1125_4,MATCH(BQ$3,PAAC!$E$19:$M$19,0),0)),"",VLOOKUP(CONCATENATE($F19,"_",BQ$4),P1125_4,MATCH(BQ$3,PAAC!$E$19:$M$19,0),0)),"")</f>
        <v/>
      </c>
      <c r="BR19" s="129" t="str">
        <f>+IFERROR(IF(ISBLANK(VLOOKUP(CONCATENATE($F19,"_",BR$4),P1125_4,MATCH(BR$3,PAAC!$E$19:$M$19,0),0)),"",VLOOKUP(CONCATENATE($F19,"_",BR$4),P1125_4,MATCH(BR$3,PAAC!$E$19:$M$19,0),0)),"")</f>
        <v/>
      </c>
      <c r="BS19" s="129" t="str">
        <f>+IFERROR(IF(ISBLANK(VLOOKUP(CONCATENATE($F19,"_",BS$4),P1125_4,MATCH(BS$3,PAAC!$E$19:$M$19,0),0)),"",VLOOKUP(CONCATENATE($F19,"_",BS$4),P1125_4,MATCH(BS$3,PAAC!$E$19:$M$19,0),0)),"")</f>
        <v/>
      </c>
      <c r="BT19" s="129" t="str">
        <f>+IFERROR(IF(ISBLANK(VLOOKUP(CONCATENATE($F19,"_",BT$4),P1125_4,MATCH(BT$3,PAAC!$E$19:$M$19,0),0)),"",VLOOKUP(CONCATENATE($F19,"_",BT$4),P1125_4,MATCH(BT$3,PAAC!$E$19:$M$19,0),0)),"")</f>
        <v/>
      </c>
      <c r="BU19" s="129" t="str">
        <f>+IFERROR(IF(ISBLANK(VLOOKUP(CONCATENATE($F19,"_",BU$4),P1125_4,MATCH(BU$3,PAAC!$E$19:$M$19,0),0)),"",VLOOKUP(CONCATENATE($F19,"_",BU$4),P1125_4,MATCH(BU$3,PAAC!$E$19:$M$19,0),0)),"")</f>
        <v/>
      </c>
      <c r="BV19" s="129" t="str">
        <f>+IFERROR(IF(ISBLANK(VLOOKUP(CONCATENATE($F19,"_",BV$4),P1125_4,MATCH(BV$3,PAAC!$E$19:$M$19,0),0)),"",VLOOKUP(CONCATENATE($F19,"_",BV$4),P1125_4,MATCH(BV$3,PAAC!$E$19:$M$19,0),0)),"")</f>
        <v/>
      </c>
      <c r="BW19" s="129" t="str">
        <f>+IFERROR(IF(ISBLANK(VLOOKUP(CONCATENATE($F19,"_",BW$4),P1125_4,MATCH(BW$3,PAAC!$E$19:$M$19,0),0)),"",VLOOKUP(CONCATENATE($F19,"_",BW$4),P1125_4,MATCH(BW$3,PAAC!$E$19:$M$19,0),0)),"")</f>
        <v/>
      </c>
      <c r="BX19" s="129" t="str">
        <f>+IFERROR(IF(ISBLANK(VLOOKUP(CONCATENATE($F19,"_",BX$4),P1125_4,MATCH(BX$3,PAAC!$E$19:$M$19,0),0)),"",VLOOKUP(CONCATENATE($F19,"_",BX$4),P1125_4,MATCH(BX$3,PAAC!$E$19:$M$19,0),0)),"")</f>
        <v/>
      </c>
      <c r="BY19" s="129" t="str">
        <f>+IFERROR(IF(ISBLANK(VLOOKUP(CONCATENATE($F19,"_",BY$4),P1125_4,MATCH(BY$3,PAAC!$E$19:$M$19,0),0)),"",VLOOKUP(CONCATENATE($F19,"_",BY$4),P1125_4,MATCH(BY$3,PAAC!$E$19:$M$19,0),0)),"")</f>
        <v/>
      </c>
      <c r="BZ19" s="129" t="str">
        <f>+IFERROR(IF(ISBLANK(VLOOKUP(CONCATENATE($F19,"_",BZ$4),P1125_4,MATCH(BZ$3,PAAC!$E$19:$M$19,0),0)),"",VLOOKUP(CONCATENATE($F19,"_",BZ$4),P1125_4,MATCH(BZ$3,PAAC!$E$19:$M$19,0),0)),"")</f>
        <v/>
      </c>
      <c r="CA19" s="129" t="str">
        <f>+IFERROR(IF(ISBLANK(VLOOKUP(CONCATENATE($F19,"_",CA$4),P1125_4,MATCH(CA$3,PAAC!$E$19:$M$19,0),0)),"",VLOOKUP(CONCATENATE($F19,"_",CA$4),P1125_4,MATCH(CA$3,PAAC!$E$19:$M$19,0),0)),"")</f>
        <v/>
      </c>
      <c r="CB19" s="129" t="str">
        <f>+IFERROR(IF(ISBLANK(VLOOKUP(CONCATENATE($F19,"_",CB$4),P1125_4,MATCH(CB$3,PAAC!$E$19:$M$19,0),0)),"",VLOOKUP(CONCATENATE($F19,"_",CB$4),P1125_4,MATCH(CB$3,PAAC!$E$19:$M$19,0),0)),"")</f>
        <v/>
      </c>
      <c r="CC19" s="129" t="str">
        <f>+IFERROR(IF(ISBLANK(VLOOKUP(CONCATENATE($F19,"_",CC$4),P1125_4,MATCH(CC$3,PAAC!$E$19:$M$19,0),0)),"",VLOOKUP(CONCATENATE($F19,"_",CC$4),P1125_4,MATCH(CC$3,PAAC!$E$19:$M$19,0),0)),"")</f>
        <v/>
      </c>
      <c r="CD19" s="129" t="str">
        <f t="shared" si="11"/>
        <v/>
      </c>
      <c r="CE19" s="129" t="str">
        <f t="shared" si="3"/>
        <v/>
      </c>
      <c r="CF19" s="129" t="str">
        <f t="shared" si="4"/>
        <v/>
      </c>
      <c r="CG19" s="129" t="str">
        <f t="shared" si="5"/>
        <v/>
      </c>
      <c r="CH19" s="129" t="str">
        <f t="shared" si="6"/>
        <v/>
      </c>
      <c r="CI19" t="str">
        <f t="shared" si="18"/>
        <v>Cumple</v>
      </c>
      <c r="CJ19" t="str">
        <f t="shared" si="18"/>
        <v>Cumplido</v>
      </c>
      <c r="CK19" t="str">
        <f t="shared" si="18"/>
        <v>Adecuado</v>
      </c>
      <c r="CL19" t="str">
        <f t="shared" si="18"/>
        <v>Coherente</v>
      </c>
      <c r="CM19" t="str">
        <f t="shared" si="18"/>
        <v>Concuerda</v>
      </c>
      <c r="CN19" t="str">
        <f t="shared" si="18"/>
        <v>Concuerda</v>
      </c>
      <c r="CO19" t="str">
        <f t="shared" si="18"/>
        <v>Relación directa</v>
      </c>
      <c r="CP19" t="str">
        <f t="shared" si="18"/>
        <v>Adecuado</v>
      </c>
      <c r="CQ19" t="str">
        <f t="shared" si="18"/>
        <v>Oportuna</v>
      </c>
      <c r="CR19" t="str">
        <f t="shared" si="18"/>
        <v>No se tienen observaciones.</v>
      </c>
      <c r="CS19" t="str">
        <f t="shared" si="19"/>
        <v>Cesar Arcos</v>
      </c>
      <c r="CT19" t="str">
        <f t="shared" si="19"/>
        <v>Cumple</v>
      </c>
      <c r="CU19" t="str">
        <f t="shared" si="19"/>
        <v>Cumplido</v>
      </c>
      <c r="CV19" t="str">
        <f t="shared" si="19"/>
        <v>Adecuado</v>
      </c>
      <c r="CW19" t="str">
        <f t="shared" si="19"/>
        <v>Coherente</v>
      </c>
      <c r="CX19" t="str">
        <f t="shared" si="19"/>
        <v>Concuerda</v>
      </c>
      <c r="CY19" t="str">
        <f t="shared" si="19"/>
        <v>Concuerda</v>
      </c>
      <c r="CZ19" t="str">
        <f t="shared" si="19"/>
        <v>Relación directa</v>
      </c>
      <c r="DA19" t="str">
        <f t="shared" si="19"/>
        <v>Adecuado</v>
      </c>
      <c r="DB19" t="str">
        <f t="shared" si="19"/>
        <v>Oportuna</v>
      </c>
      <c r="DC19" t="str">
        <f t="shared" si="20"/>
        <v>No se tienen observaciones.</v>
      </c>
      <c r="DD19" t="str">
        <f t="shared" si="20"/>
        <v>Cesar Arcos</v>
      </c>
      <c r="DE19" t="e">
        <f t="shared" si="20"/>
        <v>#REF!</v>
      </c>
      <c r="DF19" t="e">
        <f t="shared" si="20"/>
        <v>#REF!</v>
      </c>
      <c r="DG19" t="e">
        <f t="shared" si="20"/>
        <v>#REF!</v>
      </c>
      <c r="DH19" t="e">
        <f t="shared" si="20"/>
        <v>#REF!</v>
      </c>
      <c r="DI19" t="e">
        <f t="shared" si="20"/>
        <v>#REF!</v>
      </c>
      <c r="DJ19" t="e">
        <f t="shared" si="20"/>
        <v>#REF!</v>
      </c>
      <c r="DK19" t="e">
        <f t="shared" si="20"/>
        <v>#REF!</v>
      </c>
      <c r="DL19" t="e">
        <f t="shared" si="20"/>
        <v>#REF!</v>
      </c>
      <c r="DM19" t="e">
        <f t="shared" si="21"/>
        <v>#REF!</v>
      </c>
      <c r="DN19" t="e">
        <f t="shared" si="21"/>
        <v>#REF!</v>
      </c>
      <c r="DO19" t="e">
        <f t="shared" si="21"/>
        <v>#REF!</v>
      </c>
      <c r="DP19" t="e">
        <f t="shared" si="21"/>
        <v>#REF!</v>
      </c>
      <c r="DQ19" t="e">
        <f t="shared" si="21"/>
        <v>#REF!</v>
      </c>
      <c r="DR19" t="e">
        <f t="shared" si="21"/>
        <v>#REF!</v>
      </c>
      <c r="DS19" t="e">
        <f t="shared" si="21"/>
        <v>#REF!</v>
      </c>
      <c r="DT19" t="e">
        <f t="shared" si="21"/>
        <v>#REF!</v>
      </c>
      <c r="DU19" t="e">
        <f t="shared" si="21"/>
        <v>#REF!</v>
      </c>
      <c r="DV19" t="e">
        <f t="shared" si="21"/>
        <v>#REF!</v>
      </c>
      <c r="DW19" t="e">
        <f t="shared" si="21"/>
        <v>#REF!</v>
      </c>
      <c r="DX19" t="e">
        <f t="shared" si="21"/>
        <v>#REF!</v>
      </c>
    </row>
    <row r="20" spans="1:128" x14ac:dyDescent="0.3">
      <c r="A20" s="423">
        <f t="shared" si="16"/>
        <v>160</v>
      </c>
      <c r="B20" t="str">
        <f t="shared" si="17"/>
        <v>1_Oficina de Control Interno Disciplinario</v>
      </c>
      <c r="C20">
        <f t="shared" si="8"/>
        <v>1</v>
      </c>
      <c r="D20" t="str">
        <f t="shared" si="0"/>
        <v>Oficina de Control Interno Disciplinario</v>
      </c>
      <c r="E20" t="str">
        <f t="shared" si="1"/>
        <v>ocd</v>
      </c>
      <c r="F20" s="208">
        <f>Oficinas!D18</f>
        <v>160</v>
      </c>
      <c r="G20" t="str">
        <f t="shared" si="2"/>
        <v>Suma</v>
      </c>
      <c r="H20" t="str">
        <f t="shared" si="2"/>
        <v>Número</v>
      </c>
      <c r="I20">
        <f t="shared" si="2"/>
        <v>100</v>
      </c>
      <c r="J20">
        <f t="shared" si="2"/>
        <v>100</v>
      </c>
      <c r="K20" t="str">
        <f>+IFERROR(VLOOKUP($F20,Oficinas_1,MATCH(K$5,Oficinas!$D$9:$V$9,0),0),"")</f>
        <v>Suma</v>
      </c>
      <c r="L20">
        <f>+IFERROR(VLOOKUP($F20,Oficinas_1,MATCH(L$5,Oficinas!$D$9:$V$9,0),0),"")</f>
        <v>52</v>
      </c>
      <c r="M20">
        <f t="shared" si="9"/>
        <v>28</v>
      </c>
      <c r="N20">
        <f>+IFERROR(VLOOKUP($F20,Oficinas_1,MATCH(N$5,Oficinas!$D$9:$V$9,0),0),"")</f>
        <v>12</v>
      </c>
      <c r="O20">
        <f>+IFERROR(VLOOKUP($F20,Oficinas_1,MATCH(O$5,Oficinas!$D$9:$V$9,0),0),"")</f>
        <v>8</v>
      </c>
      <c r="P20">
        <f>+IFERROR(VLOOKUP($F20,Oficinas_1,MATCH(P$5,Oficinas!$D$9:$V$9,0),0),"")</f>
        <v>8</v>
      </c>
      <c r="Q20">
        <f>+IFERROR(VLOOKUP($F20,Oficinas_1,MATCH(Q$5,Oficinas!$D$9:$V$9,0),0),"")</f>
        <v>8</v>
      </c>
      <c r="R20">
        <f>+IFERROR(VLOOKUP($F20,Oficinas_1,MATCH(R$5,Oficinas!$D$9:$V$9,0),0),"")</f>
        <v>8</v>
      </c>
      <c r="S20">
        <f>+IFERROR(VLOOKUP($F20,Oficinas_1,MATCH(S$5,Oficinas!$D$9:$V$9,0),0),"")</f>
        <v>8</v>
      </c>
      <c r="T20">
        <f>+IFERROR(VLOOKUP($F20,Oficinas_1,MATCH(T$5,Oficinas!$D$9:$V$9,0),0),"")</f>
        <v>52</v>
      </c>
      <c r="U20" t="str">
        <f>+IFERROR(VLOOKUP($F20,Oficinas_1,MATCH(U$5,Oficinas!$D$9:$V$9,0),0),"")</f>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
      <c r="V20" t="str">
        <f>+IFERROR(VLOOKUP($F20,Oficinas_1,MATCH(V$5,Oficinas!$D$9:$V$9,0),0),"")</f>
        <v>Acciones disciplinarias correspondientes</v>
      </c>
      <c r="W20" t="str">
        <f>+IFERROR(VLOOKUP($F20,Oficinas_1,MATCH(W$5,Oficinas!$D$9:$V$9,0),0),"")</f>
        <v>El beneficio de este indicador es que los funcionarios que tengan a cargo el expediente del proceso disciplinario avancen en las etapas respectivas del proceso.</v>
      </c>
      <c r="X20" t="str">
        <f>+IFERROR(VLOOKUP($F20,Oficinas_1,MATCH(X$5,Oficinas!$D$9:$V$9,0),0),"")</f>
        <v>Listado de autos proferidos en el periodo.</v>
      </c>
      <c r="Y20">
        <f>+IFERROR(IF(ISBLANK(VLOOKUP(CONCATENATE($F20,"_",Y$4),Oficinas_2,MATCH(Y$3,Oficinas!$F$26:$O$26,0),0)),"",VLOOKUP(CONCATENATE($F20,"_",Y$4),Oficinas_2,MATCH(Y$3,Oficinas!$F$26:$O$26,0),0)),"")</f>
        <v>13</v>
      </c>
      <c r="Z20">
        <f>+IFERROR(IF(ISBLANK(VLOOKUP(CONCATENATE($F20,"_",Z$4),Oficinas_2,MATCH(Z$3,Oficinas!$F$26:$O$26,0),0)),"",VLOOKUP(CONCATENATE($F20,"_",Z$4),Oficinas_2,MATCH(Z$3,Oficinas!$F$26:$O$26,0),0)),"")</f>
        <v>0</v>
      </c>
      <c r="AA20" t="str">
        <f>+IFERROR(IF(ISBLANK(VLOOKUP(CONCATENATE($F20,"_",AA$4),Oficinas_2,MATCH(AA$3,Oficinas!$F$26:$O$26,0),0)),"",VLOOKUP(CONCATENATE($F20,"_",AA$4),Oficinas_2,MATCH(AA$3,Oficinas!$F$26:$O$26,0),0)),"")</f>
        <v>Se emitieron 13 autos, con las siguientes decisiones; 5 autos de archivo,  1 auto inhibitorio, 2 autos de apertura de investigacion disciplinaria, 1 auto de pliego de cargos,  4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AB20" t="str">
        <f>+IFERROR(IF(ISBLANK(VLOOKUP(CONCATENATE($F20,"_",AB$4),Oficinas_2,MATCH(AB$3,Oficinas!$F$26:$O$26,0),0)),"",VLOOKUP(CONCATENATE($F20,"_",AB$4),Oficinas_2,MATCH(AB$3,Oficinas!$F$26:$O$26,0),0)),"")</f>
        <v>La meta del indicador se cumplio.</v>
      </c>
      <c r="AC20" t="str">
        <f>+IFERROR(IF(ISBLANK(VLOOKUP(CONCATENATE($F20,"_",AC$4),Oficinas_2,MATCH(AC$3,Oficinas!$F$26:$O$26,0),0)),"",VLOOKUP(CONCATENATE($F20,"_",AC$4),Oficinas_2,MATCH(AC$3,Oficinas!$F$26:$O$26,0),0)),"")</f>
        <v>Adelantar y sustanciar con celeridad, eficiencia y oportunidad, las decisiones de cada una de las etapas del proceso disciplinario.</v>
      </c>
      <c r="AD20">
        <f>+IFERROR(IF(ISBLANK(VLOOKUP(CONCATENATE($F20,"_",AD$4),Oficinas_2,MATCH(AD$3,Oficinas!$F$26:$O$26,0),0)),"",VLOOKUP(CONCATENATE($F20,"_",AD$4),Oficinas_2,MATCH(AD$3,Oficinas!$F$26:$O$26,0),0)),"")</f>
        <v>12</v>
      </c>
      <c r="AE20">
        <f>+IFERROR(IF(ISBLANK(VLOOKUP(CONCATENATE($F20,"_",AE$4),Oficinas_2,MATCH(AE$3,Oficinas!$F$26:$O$26,0),0)),"",VLOOKUP(CONCATENATE($F20,"_",AE$4),Oficinas_2,MATCH(AE$3,Oficinas!$F$26:$O$26,0),0)),"")</f>
        <v>0</v>
      </c>
      <c r="AF20" t="str">
        <f>+IFERROR(IF(ISBLANK(VLOOKUP(CONCATENATE($F20,"_",AF$4),Oficinas_2,MATCH(AF$3,Oficinas!$F$26:$O$26,0),0)),"",VLOOKUP(CONCATENATE($F20,"_",AF$4),Oficinas_2,MATCH(AF$3,Oficinas!$F$26:$O$26,0),0)),"")</f>
        <v>Se emitieron 12 autos, con las siguientes decisiones; 9 autos de archivo,  1 auto de apertura de investigacion disciplinaria, 2 auto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AG20" t="str">
        <f>+IFERROR(IF(ISBLANK(VLOOKUP(CONCATENATE($F20,"_",AG$4),Oficinas_2,MATCH(AG$3,Oficinas!$F$26:$O$26,0),0)),"",VLOOKUP(CONCATENATE($F20,"_",AG$4),Oficinas_2,MATCH(AG$3,Oficinas!$F$26:$O$26,0),0)),"")</f>
        <v>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v>
      </c>
      <c r="AH20" t="str">
        <f>+IFERROR(IF(ISBLANK(VLOOKUP(CONCATENATE($F20,"_",AH$4),Oficinas_2,MATCH(AH$3,Oficinas!$F$26:$O$26,0),0)),"",VLOOKUP(CONCATENATE($F20,"_",AH$4),Oficinas_2,MATCH(AH$3,Oficinas!$F$26:$O$26,0),0)),"")</f>
        <v>Adelantar y sustanciar con celeridad, eficiencia y oportunidad, las decisiones de cada una de las etapas del proceso disciplinario.</v>
      </c>
      <c r="AI20">
        <f>+IFERROR(IF(ISBLANK(VLOOKUP(CONCATENATE($F20,"_",AI$4),Oficinas_2,MATCH(AI$3,Oficinas!$F$26:$O$26,0),0)),"",VLOOKUP(CONCATENATE($F20,"_",AI$4),Oficinas_2,MATCH(AI$3,Oficinas!$F$26:$O$26,0),0)),"")</f>
        <v>9</v>
      </c>
      <c r="AJ20">
        <f>+IFERROR(IF(ISBLANK(VLOOKUP(CONCATENATE($F20,"_",AJ$4),Oficinas_2,MATCH(AJ$3,Oficinas!$F$26:$O$26,0),0)),"",VLOOKUP(CONCATENATE($F20,"_",AJ$4),Oficinas_2,MATCH(AJ$3,Oficinas!$F$26:$O$26,0),0)),"")</f>
        <v>0</v>
      </c>
      <c r="AK20" t="str">
        <f>+IFERROR(IF(ISBLANK(VLOOKUP(CONCATENATE($F20,"_",AK$4),Oficinas_2,MATCH(AK$3,Oficinas!$F$26:$O$26,0),0)),"",VLOOKUP(CONCATENATE($F20,"_",AK$4),Oficinas_2,MATCH(AK$3,Oficinas!$F$26:$O$26,0),0)),"")</f>
        <v>Se emitieron 9 autos, con las siguientes decisiones; 2 autos de archivo,  3 autos de apertura de investigacion disciplinaria, 2 autos de apertura de indagacion preliminar, 1 auto declarando desierto el recurso de apelacion, 1 fallo de primera instancia.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AL20" t="str">
        <f>+IFERROR(IF(ISBLANK(VLOOKUP(CONCATENATE($F20,"_",AL$4),Oficinas_2,MATCH(AL$3,Oficinas!$F$26:$O$26,0),0)),"",VLOOKUP(CONCATENATE($F20,"_",AL$4),Oficinas_2,MATCH(AL$3,Oficinas!$F$26:$O$26,0),0)),"")</f>
        <v>La meta del indicador se cumplio.</v>
      </c>
      <c r="AM20" t="str">
        <f>+IFERROR(IF(ISBLANK(VLOOKUP(CONCATENATE($F20,"_",AM$4),Oficinas_2,MATCH(AM$3,Oficinas!$F$26:$O$26,0),0)),"",VLOOKUP(CONCATENATE($F20,"_",AM$4),Oficinas_2,MATCH(AM$3,Oficinas!$F$26:$O$26,0),0)),"")</f>
        <v>Adelantar y sustanciar con celeridad, eficiencia y oportunidad, las decisiones de cada una de las etapas del proceso disciplinario.</v>
      </c>
      <c r="AN20">
        <f>+IFERROR(IF(ISBLANK(VLOOKUP(CONCATENATE($F20,"_",AN$4),Oficinas_2,MATCH(AN$3,Oficinas!$F$26:$O$26,0),0)),"",VLOOKUP(CONCATENATE($F20,"_",AN$4),Oficinas_2,MATCH(AN$3,Oficinas!$F$26:$O$26,0),0)),"")</f>
        <v>11</v>
      </c>
      <c r="AO20">
        <f>+IFERROR(IF(ISBLANK(VLOOKUP(CONCATENATE($F20,"_",AO$4),Oficinas_2,MATCH(AO$3,Oficinas!$F$26:$O$26,0),0)),"",VLOOKUP(CONCATENATE($F20,"_",AO$4),Oficinas_2,MATCH(AO$3,Oficinas!$F$26:$O$26,0),0)),"")</f>
        <v>0</v>
      </c>
      <c r="AP20" t="str">
        <f>+IFERROR(IF(ISBLANK(VLOOKUP(CONCATENATE($F20,"_",AP$4),Oficinas_2,MATCH(AP$3,Oficinas!$F$26:$O$26,0),0)),"",VLOOKUP(CONCATENATE($F20,"_",AP$4),Oficinas_2,MATCH(AP$3,Oficinas!$F$26:$O$26,0),0)),"")</f>
        <v>Se emitieron 11 autos, con las siguientes decisiones; 2 autos de archivo,  1 auto de nulidad, 2 autos inhibitorio, 6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AQ20" t="str">
        <f>+IFERROR(IF(ISBLANK(VLOOKUP(CONCATENATE($F20,"_",AQ$4),Oficinas_2,MATCH(AQ$3,Oficinas!$F$26:$O$26,0),0)),"",VLOOKUP(CONCATENATE($F20,"_",AQ$4),Oficinas_2,MATCH(AQ$3,Oficinas!$F$26:$O$26,0),0)),"")</f>
        <v>La meta del indicador se cumplio.</v>
      </c>
      <c r="AR20" t="str">
        <f>+IFERROR(IF(ISBLANK(VLOOKUP(CONCATENATE($F20,"_",AR$4),Oficinas_2,MATCH(AR$3,Oficinas!$F$26:$O$26,0),0)),"",VLOOKUP(CONCATENATE($F20,"_",AR$4),Oficinas_2,MATCH(AR$3,Oficinas!$F$26:$O$26,0),0)),"")</f>
        <v>Adelantar y sustanciar con celeridad, eficiencia y oportunidad, las decisiones de cada una de las etapas del proceso disciplinario.</v>
      </c>
      <c r="AS20">
        <f>+IFERROR(IF(ISBLANK(VLOOKUP(CONCATENATE($F20,"_",AS$4),Oficinas_2,MATCH(AS$3,Oficinas!$F$26:$O$26,0),0)),"",VLOOKUP(CONCATENATE($F20,"_",AS$4),Oficinas_2,MATCH(AS$3,Oficinas!$F$26:$O$26,0),0)),"")</f>
        <v>8</v>
      </c>
      <c r="AT20">
        <f>+IFERROR(IF(ISBLANK(VLOOKUP(CONCATENATE($F20,"_",AT$4),Oficinas_2,MATCH(AT$3,Oficinas!$F$26:$O$26,0),0)),"",VLOOKUP(CONCATENATE($F20,"_",AT$4),Oficinas_2,MATCH(AT$3,Oficinas!$F$26:$O$26,0),0)),"")</f>
        <v>0</v>
      </c>
      <c r="AU20" t="str">
        <f>+IFERROR(IF(ISBLANK(VLOOKUP(CONCATENATE($F20,"_",AU$4),Oficinas_2,MATCH(AU$3,Oficinas!$F$26:$O$26,0),0)),"",VLOOKUP(CONCATENATE($F20,"_",AU$4),Oficinas_2,MATCH(AU$3,Oficinas!$F$26:$O$26,0),0)),"")</f>
        <v>Se emitieron 8 autos, con las siguientes decisiones; 8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AV20" t="str">
        <f>+IFERROR(IF(ISBLANK(VLOOKUP(CONCATENATE($F20,"_",AV$4),Oficinas_2,MATCH(AV$3,Oficinas!$F$26:$O$26,0),0)),"",VLOOKUP(CONCATENATE($F20,"_",AV$4),Oficinas_2,MATCH(AV$3,Oficinas!$F$26:$O$26,0),0)),"")</f>
        <v>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v>
      </c>
      <c r="AW20" t="str">
        <f>+IFERROR(IF(ISBLANK(VLOOKUP(CONCATENATE($F20,"_",AW$4),Oficinas_2,MATCH(AW$3,Oficinas!$F$26:$O$26,0),0)),"",VLOOKUP(CONCATENATE($F20,"_",AW$4),Oficinas_2,MATCH(AW$3,Oficinas!$F$26:$O$26,0),0)),"")</f>
        <v>Adelantar y sustanciar con celeridad, eficiencia y oportunidad, las decisiones de cada una de las etapas del proceso disciplinario.</v>
      </c>
      <c r="AX20">
        <f>+IFERROR(IF(ISBLANK(VLOOKUP(CONCATENATE($F20,"_",AX$4),Oficinas_2,MATCH(AX$3,Oficinas!$F$26:$O$26,0),0)),"",VLOOKUP(CONCATENATE($F20,"_",AX$4),Oficinas_2,MATCH(AX$3,Oficinas!$F$26:$O$26,0),0)),"")</f>
        <v>8</v>
      </c>
      <c r="AY20">
        <f>+IFERROR(IF(ISBLANK(VLOOKUP(CONCATENATE($F20,"_",AY$4),Oficinas_2,MATCH(AY$3,Oficinas!$F$26:$O$26,0),0)),"",VLOOKUP(CONCATENATE($F20,"_",AY$4),Oficinas_2,MATCH(AY$3,Oficinas!$F$26:$O$26,0),0)),"")</f>
        <v>0</v>
      </c>
      <c r="AZ20" t="str">
        <f>+IFERROR(IF(ISBLANK(VLOOKUP(CONCATENATE($F20,"_",AZ$4),Oficinas_2,MATCH(AZ$3,Oficinas!$F$26:$O$26,0),0)),"",VLOOKUP(CONCATENATE($F20,"_",AZ$4),Oficinas_2,MATCH(AZ$3,Oficinas!$F$26:$O$26,0),0)),"")</f>
        <v xml:space="preserve">De los 57 expedientes en curso, 57 se encontraban con etapa procesal en terminos.La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BA20" t="str">
        <f>+IFERROR(IF(ISBLANK(VLOOKUP(CONCATENATE($F20,"_",BA$4),Oficinas_2,MATCH(BA$3,Oficinas!$F$26:$O$26,0),0)),"",VLOOKUP(CONCATENATE($F20,"_",BA$4),Oficinas_2,MATCH(BA$3,Oficinas!$F$26:$O$26,0),0)),"")</f>
        <v>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v>
      </c>
      <c r="BB20" t="str">
        <f>+IFERROR(IF(ISBLANK(VLOOKUP(CONCATENATE($F20,"_",BB$4),Oficinas_2,MATCH(BB$3,Oficinas!$F$26:$O$26,0),0)),"",VLOOKUP(CONCATENATE($F20,"_",BB$4),Oficinas_2,MATCH(BB$3,Oficinas!$F$26:$O$26,0),0)),"")</f>
        <v>Adelantar y sustanciar con celeridad, eficiencia y oportunidad, las decisiones de cada una de las etapas del proceso disciplinario.</v>
      </c>
      <c r="BC20">
        <f t="shared" si="10"/>
        <v>61</v>
      </c>
      <c r="BD20">
        <f t="shared" si="10"/>
        <v>0</v>
      </c>
      <c r="BE20" s="129" t="str">
        <f>+IFERROR(IF(ISBLANK(VLOOKUP(CONCATENATE($F20,"_",BE$4),P1125_4,MATCH(BE$3,PAAC!$E$19:$M$19,0),0)),"",VLOOKUP(CONCATENATE($F20,"_",BE$4),P1125_4,MATCH(BE$3,PAAC!$E$19:$M$19,0),0)),"")</f>
        <v/>
      </c>
      <c r="BF20" s="129" t="str">
        <f>+IFERROR(IF(ISBLANK(VLOOKUP(CONCATENATE($F20,"_",BF$4),P1125_4,MATCH(BF$3,PAAC!$E$19:$M$19,0),0)),"",VLOOKUP(CONCATENATE($F20,"_",BF$4),P1125_4,MATCH(BF$3,PAAC!$E$19:$M$19,0),0)),"")</f>
        <v/>
      </c>
      <c r="BG20" s="129" t="str">
        <f>+IFERROR(IF(ISBLANK(VLOOKUP(CONCATENATE($F20,"_",BG$4),P1125_4,MATCH(BG$3,PAAC!$E$19:$M$19,0),0)),"",VLOOKUP(CONCATENATE($F20,"_",BG$4),P1125_4,MATCH(BG$3,PAAC!$E$19:$M$19,0),0)),"")</f>
        <v/>
      </c>
      <c r="BH20" s="129" t="str">
        <f>+IFERROR(IF(ISBLANK(VLOOKUP(CONCATENATE($F20,"_",BH$4),P1125_4,MATCH(BH$3,PAAC!$E$19:$M$19,0),0)),"",VLOOKUP(CONCATENATE($F20,"_",BH$4),P1125_4,MATCH(BH$3,PAAC!$E$19:$M$19,0),0)),"")</f>
        <v/>
      </c>
      <c r="BI20" s="129" t="str">
        <f>+IFERROR(IF(ISBLANK(VLOOKUP(CONCATENATE($F20,"_",BI$4),P1125_4,MATCH(BI$3,PAAC!$E$19:$M$19,0),0)),"",VLOOKUP(CONCATENATE($F20,"_",BI$4),P1125_4,MATCH(BI$3,PAAC!$E$19:$M$19,0),0)),"")</f>
        <v/>
      </c>
      <c r="BJ20" s="129" t="str">
        <f>+IFERROR(IF(ISBLANK(VLOOKUP(CONCATENATE($F20,"_",BJ$4),P1125_4,MATCH(BJ$3,PAAC!$E$19:$M$19,0),0)),"",VLOOKUP(CONCATENATE($F20,"_",BJ$4),P1125_4,MATCH(BJ$3,PAAC!$E$19:$M$19,0),0)),"")</f>
        <v/>
      </c>
      <c r="BK20" s="129" t="str">
        <f>+IFERROR(IF(ISBLANK(VLOOKUP(CONCATENATE($F20,"_",BK$4),P1125_4,MATCH(BK$3,PAAC!$E$19:$M$19,0),0)),"",VLOOKUP(CONCATENATE($F20,"_",BK$4),P1125_4,MATCH(BK$3,PAAC!$E$19:$M$19,0),0)),"")</f>
        <v/>
      </c>
      <c r="BL20" s="129" t="str">
        <f>+IFERROR(IF(ISBLANK(VLOOKUP(CONCATENATE($F20,"_",BL$4),P1125_4,MATCH(BL$3,PAAC!$E$19:$M$19,0),0)),"",VLOOKUP(CONCATENATE($F20,"_",BL$4),P1125_4,MATCH(BL$3,PAAC!$E$19:$M$19,0),0)),"")</f>
        <v/>
      </c>
      <c r="BM20" s="129" t="str">
        <f>+IFERROR(IF(ISBLANK(VLOOKUP(CONCATENATE($F20,"_",BM$4),P1125_4,MATCH(BM$3,PAAC!$E$19:$M$19,0),0)),"",VLOOKUP(CONCATENATE($F20,"_",BM$4),P1125_4,MATCH(BM$3,PAAC!$E$19:$M$19,0),0)),"")</f>
        <v/>
      </c>
      <c r="BN20" s="129" t="str">
        <f>+IFERROR(IF(ISBLANK(VLOOKUP(CONCATENATE($F20,"_",BN$4),P1125_4,MATCH(BN$3,PAAC!$E$19:$M$19,0),0)),"",VLOOKUP(CONCATENATE($F20,"_",BN$4),P1125_4,MATCH(BN$3,PAAC!$E$19:$M$19,0),0)),"")</f>
        <v/>
      </c>
      <c r="BO20" s="129" t="str">
        <f>+IFERROR(IF(ISBLANK(VLOOKUP(CONCATENATE($F20,"_",BO$4),P1125_4,MATCH(BO$3,PAAC!$E$19:$M$19,0),0)),"",VLOOKUP(CONCATENATE($F20,"_",BO$4),P1125_4,MATCH(BO$3,PAAC!$E$19:$M$19,0),0)),"")</f>
        <v/>
      </c>
      <c r="BP20" s="129" t="str">
        <f>+IFERROR(IF(ISBLANK(VLOOKUP(CONCATENATE($F20,"_",BP$4),P1125_4,MATCH(BP$3,PAAC!$E$19:$M$19,0),0)),"",VLOOKUP(CONCATENATE($F20,"_",BP$4),P1125_4,MATCH(BP$3,PAAC!$E$19:$M$19,0),0)),"")</f>
        <v/>
      </c>
      <c r="BQ20" s="129" t="str">
        <f>+IFERROR(IF(ISBLANK(VLOOKUP(CONCATENATE($F20,"_",BQ$4),P1125_4,MATCH(BQ$3,PAAC!$E$19:$M$19,0),0)),"",VLOOKUP(CONCATENATE($F20,"_",BQ$4),P1125_4,MATCH(BQ$3,PAAC!$E$19:$M$19,0),0)),"")</f>
        <v/>
      </c>
      <c r="BR20" s="129" t="str">
        <f>+IFERROR(IF(ISBLANK(VLOOKUP(CONCATENATE($F20,"_",BR$4),P1125_4,MATCH(BR$3,PAAC!$E$19:$M$19,0),0)),"",VLOOKUP(CONCATENATE($F20,"_",BR$4),P1125_4,MATCH(BR$3,PAAC!$E$19:$M$19,0),0)),"")</f>
        <v/>
      </c>
      <c r="BS20" s="129" t="str">
        <f>+IFERROR(IF(ISBLANK(VLOOKUP(CONCATENATE($F20,"_",BS$4),P1125_4,MATCH(BS$3,PAAC!$E$19:$M$19,0),0)),"",VLOOKUP(CONCATENATE($F20,"_",BS$4),P1125_4,MATCH(BS$3,PAAC!$E$19:$M$19,0),0)),"")</f>
        <v/>
      </c>
      <c r="BT20" s="129" t="str">
        <f>+IFERROR(IF(ISBLANK(VLOOKUP(CONCATENATE($F20,"_",BT$4),P1125_4,MATCH(BT$3,PAAC!$E$19:$M$19,0),0)),"",VLOOKUP(CONCATENATE($F20,"_",BT$4),P1125_4,MATCH(BT$3,PAAC!$E$19:$M$19,0),0)),"")</f>
        <v/>
      </c>
      <c r="BU20" s="129" t="str">
        <f>+IFERROR(IF(ISBLANK(VLOOKUP(CONCATENATE($F20,"_",BU$4),P1125_4,MATCH(BU$3,PAAC!$E$19:$M$19,0),0)),"",VLOOKUP(CONCATENATE($F20,"_",BU$4),P1125_4,MATCH(BU$3,PAAC!$E$19:$M$19,0),0)),"")</f>
        <v/>
      </c>
      <c r="BV20" s="129" t="str">
        <f>+IFERROR(IF(ISBLANK(VLOOKUP(CONCATENATE($F20,"_",BV$4),P1125_4,MATCH(BV$3,PAAC!$E$19:$M$19,0),0)),"",VLOOKUP(CONCATENATE($F20,"_",BV$4),P1125_4,MATCH(BV$3,PAAC!$E$19:$M$19,0),0)),"")</f>
        <v/>
      </c>
      <c r="BW20" s="129" t="str">
        <f>+IFERROR(IF(ISBLANK(VLOOKUP(CONCATENATE($F20,"_",BW$4),P1125_4,MATCH(BW$3,PAAC!$E$19:$M$19,0),0)),"",VLOOKUP(CONCATENATE($F20,"_",BW$4),P1125_4,MATCH(BW$3,PAAC!$E$19:$M$19,0),0)),"")</f>
        <v/>
      </c>
      <c r="BX20" s="129" t="str">
        <f>+IFERROR(IF(ISBLANK(VLOOKUP(CONCATENATE($F20,"_",BX$4),P1125_4,MATCH(BX$3,PAAC!$E$19:$M$19,0),0)),"",VLOOKUP(CONCATENATE($F20,"_",BX$4),P1125_4,MATCH(BX$3,PAAC!$E$19:$M$19,0),0)),"")</f>
        <v/>
      </c>
      <c r="BY20" s="129" t="str">
        <f>+IFERROR(IF(ISBLANK(VLOOKUP(CONCATENATE($F20,"_",BY$4),P1125_4,MATCH(BY$3,PAAC!$E$19:$M$19,0),0)),"",VLOOKUP(CONCATENATE($F20,"_",BY$4),P1125_4,MATCH(BY$3,PAAC!$E$19:$M$19,0),0)),"")</f>
        <v/>
      </c>
      <c r="BZ20" s="129" t="str">
        <f>+IFERROR(IF(ISBLANK(VLOOKUP(CONCATENATE($F20,"_",BZ$4),P1125_4,MATCH(BZ$3,PAAC!$E$19:$M$19,0),0)),"",VLOOKUP(CONCATENATE($F20,"_",BZ$4),P1125_4,MATCH(BZ$3,PAAC!$E$19:$M$19,0),0)),"")</f>
        <v/>
      </c>
      <c r="CA20" s="129" t="str">
        <f>+IFERROR(IF(ISBLANK(VLOOKUP(CONCATENATE($F20,"_",CA$4),P1125_4,MATCH(CA$3,PAAC!$E$19:$M$19,0),0)),"",VLOOKUP(CONCATENATE($F20,"_",CA$4),P1125_4,MATCH(CA$3,PAAC!$E$19:$M$19,0),0)),"")</f>
        <v/>
      </c>
      <c r="CB20" s="129" t="str">
        <f>+IFERROR(IF(ISBLANK(VLOOKUP(CONCATENATE($F20,"_",CB$4),P1125_4,MATCH(CB$3,PAAC!$E$19:$M$19,0),0)),"",VLOOKUP(CONCATENATE($F20,"_",CB$4),P1125_4,MATCH(CB$3,PAAC!$E$19:$M$19,0),0)),"")</f>
        <v/>
      </c>
      <c r="CC20" s="129" t="str">
        <f>+IFERROR(IF(ISBLANK(VLOOKUP(CONCATENATE($F20,"_",CC$4),P1125_4,MATCH(CC$3,PAAC!$E$19:$M$19,0),0)),"",VLOOKUP(CONCATENATE($F20,"_",CC$4),P1125_4,MATCH(CC$3,PAAC!$E$19:$M$19,0),0)),"")</f>
        <v/>
      </c>
      <c r="CD20" s="129" t="str">
        <f t="shared" si="11"/>
        <v/>
      </c>
      <c r="CE20" s="129" t="str">
        <f t="shared" si="3"/>
        <v/>
      </c>
      <c r="CF20" s="129" t="str">
        <f t="shared" si="4"/>
        <v/>
      </c>
      <c r="CG20" s="129" t="str">
        <f t="shared" si="5"/>
        <v/>
      </c>
      <c r="CH20" s="129" t="str">
        <f t="shared" si="6"/>
        <v/>
      </c>
      <c r="CI20" t="str">
        <f t="shared" si="18"/>
        <v>Cumple</v>
      </c>
      <c r="CJ20" t="str">
        <f t="shared" si="18"/>
        <v>Anticipado</v>
      </c>
      <c r="CK20" t="str">
        <f t="shared" si="18"/>
        <v>Adecuado</v>
      </c>
      <c r="CL20" t="str">
        <f t="shared" si="18"/>
        <v>Coherente</v>
      </c>
      <c r="CM20" t="str">
        <f t="shared" si="18"/>
        <v>Concuerda</v>
      </c>
      <c r="CN20" t="str">
        <f t="shared" si="18"/>
        <v>Concuerda</v>
      </c>
      <c r="CO20" t="str">
        <f t="shared" si="18"/>
        <v>Relación directa</v>
      </c>
      <c r="CP20" t="str">
        <f t="shared" si="18"/>
        <v>Adecuado</v>
      </c>
      <c r="CQ20" t="str">
        <f t="shared" si="18"/>
        <v>Oportuna</v>
      </c>
      <c r="CR20" t="str">
        <f t="shared" si="18"/>
        <v>No se tienen observaciones.</v>
      </c>
      <c r="CS20" t="str">
        <f t="shared" si="19"/>
        <v>Cesar Arcos</v>
      </c>
      <c r="CT20" t="str">
        <f t="shared" si="19"/>
        <v>Cumple</v>
      </c>
      <c r="CU20" t="str">
        <f t="shared" si="19"/>
        <v>Cumplido</v>
      </c>
      <c r="CV20" t="str">
        <f t="shared" si="19"/>
        <v>Adecuado</v>
      </c>
      <c r="CW20" t="str">
        <f t="shared" si="19"/>
        <v>Incoherente</v>
      </c>
      <c r="CX20" t="str">
        <f t="shared" si="19"/>
        <v>Difiere</v>
      </c>
      <c r="CY20" t="str">
        <f t="shared" si="19"/>
        <v>Concuerda</v>
      </c>
      <c r="CZ20" t="str">
        <f t="shared" si="19"/>
        <v>Relación directa</v>
      </c>
      <c r="DA20" t="str">
        <f t="shared" si="19"/>
        <v>Adecuado</v>
      </c>
      <c r="DB20" t="str">
        <f t="shared" si="19"/>
        <v>Oportuna</v>
      </c>
      <c r="DC20" t="str">
        <f t="shared" si="20"/>
        <v>C4 y C5. El avance reportado en la gestión corresponde al indicador 160B, lo cuál fue notificado por el lider del proceso mediante correo electrónico del 14 de julio.</v>
      </c>
      <c r="DD20" t="str">
        <f t="shared" si="20"/>
        <v>Cesar Arcos</v>
      </c>
      <c r="DE20" t="e">
        <f t="shared" si="20"/>
        <v>#REF!</v>
      </c>
      <c r="DF20" t="e">
        <f t="shared" si="20"/>
        <v>#REF!</v>
      </c>
      <c r="DG20" t="e">
        <f t="shared" si="20"/>
        <v>#REF!</v>
      </c>
      <c r="DH20" t="e">
        <f t="shared" si="20"/>
        <v>#REF!</v>
      </c>
      <c r="DI20" t="e">
        <f t="shared" si="20"/>
        <v>#REF!</v>
      </c>
      <c r="DJ20" t="e">
        <f t="shared" si="20"/>
        <v>#REF!</v>
      </c>
      <c r="DK20" t="e">
        <f t="shared" si="20"/>
        <v>#REF!</v>
      </c>
      <c r="DL20" t="e">
        <f t="shared" si="20"/>
        <v>#REF!</v>
      </c>
      <c r="DM20" t="e">
        <f t="shared" si="21"/>
        <v>#REF!</v>
      </c>
      <c r="DN20" t="e">
        <f t="shared" si="21"/>
        <v>#REF!</v>
      </c>
      <c r="DO20" t="e">
        <f t="shared" si="21"/>
        <v>#REF!</v>
      </c>
      <c r="DP20" t="e">
        <f t="shared" si="21"/>
        <v>#REF!</v>
      </c>
      <c r="DQ20" t="e">
        <f t="shared" si="21"/>
        <v>#REF!</v>
      </c>
      <c r="DR20" t="e">
        <f t="shared" si="21"/>
        <v>#REF!</v>
      </c>
      <c r="DS20" t="e">
        <f t="shared" si="21"/>
        <v>#REF!</v>
      </c>
      <c r="DT20" t="e">
        <f t="shared" si="21"/>
        <v>#REF!</v>
      </c>
      <c r="DU20" t="e">
        <f t="shared" si="21"/>
        <v>#REF!</v>
      </c>
      <c r="DV20" t="e">
        <f t="shared" si="21"/>
        <v>#REF!</v>
      </c>
      <c r="DW20" t="e">
        <f t="shared" si="21"/>
        <v>#REF!</v>
      </c>
      <c r="DX20" t="e">
        <f t="shared" si="21"/>
        <v>#REF!</v>
      </c>
    </row>
    <row r="21" spans="1:128" x14ac:dyDescent="0.3">
      <c r="A21" s="423" t="str">
        <f t="shared" si="16"/>
        <v>160B</v>
      </c>
      <c r="B21" t="str">
        <f t="shared" si="17"/>
        <v>2_Oficina de Control Interno Disciplinario</v>
      </c>
      <c r="C21">
        <f t="shared" si="8"/>
        <v>2</v>
      </c>
      <c r="D21" t="str">
        <f t="shared" si="0"/>
        <v>Oficina de Control Interno Disciplinario</v>
      </c>
      <c r="E21" t="str">
        <f t="shared" si="1"/>
        <v>ocd</v>
      </c>
      <c r="F21" s="208" t="str">
        <f>Oficinas!D19</f>
        <v>160B</v>
      </c>
      <c r="G21" t="str">
        <f t="shared" si="2"/>
        <v>Constante</v>
      </c>
      <c r="H21" t="str">
        <f t="shared" si="2"/>
        <v>Porcentaje</v>
      </c>
      <c r="I21" t="str">
        <f t="shared" si="2"/>
        <v>No Disponible / No Aplica</v>
      </c>
      <c r="J21">
        <f t="shared" si="2"/>
        <v>1</v>
      </c>
      <c r="K21" t="str">
        <f>+IFERROR(VLOOKUP($F21,Oficinas_1,MATCH(K$5,Oficinas!$D$9:$V$9,0),0),"")</f>
        <v>Constante</v>
      </c>
      <c r="L21" t="str">
        <f>+IFERROR(VLOOKUP($F21,Oficinas_1,MATCH(L$5,Oficinas!$D$9:$V$9,0),0),"")</f>
        <v/>
      </c>
      <c r="M21">
        <f t="shared" si="9"/>
        <v>300</v>
      </c>
      <c r="N21">
        <f>+IFERROR(VLOOKUP($F21,Oficinas_1,MATCH(N$5,Oficinas!$D$9:$V$9,0),0),"")</f>
        <v>100</v>
      </c>
      <c r="O21">
        <f>+IFERROR(VLOOKUP($F21,Oficinas_1,MATCH(O$5,Oficinas!$D$9:$V$9,0),0),"")</f>
        <v>100</v>
      </c>
      <c r="P21">
        <f>+IFERROR(VLOOKUP($F21,Oficinas_1,MATCH(P$5,Oficinas!$D$9:$V$9,0),0),"")</f>
        <v>100</v>
      </c>
      <c r="Q21">
        <f>+IFERROR(VLOOKUP($F21,Oficinas_1,MATCH(Q$5,Oficinas!$D$9:$V$9,0),0),"")</f>
        <v>100</v>
      </c>
      <c r="R21">
        <f>+IFERROR(VLOOKUP($F21,Oficinas_1,MATCH(R$5,Oficinas!$D$9:$V$9,0),0),"")</f>
        <v>100</v>
      </c>
      <c r="S21">
        <f>+IFERROR(VLOOKUP($F21,Oficinas_1,MATCH(S$5,Oficinas!$D$9:$V$9,0),0),"")</f>
        <v>100</v>
      </c>
      <c r="T21">
        <f>+IFERROR(VLOOKUP($F21,Oficinas_1,MATCH(T$5,Oficinas!$D$9:$V$9,0),0),"")</f>
        <v>100</v>
      </c>
      <c r="U21" t="str">
        <f>+IFERROR(VLOOKUP($F21,Oficinas_1,MATCH(U$5,Oficinas!$D$9:$V$9,0),0),"")</f>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
      <c r="V21">
        <f>+IFERROR(VLOOKUP($F21,Oficinas_1,MATCH(V$5,Oficinas!$D$9:$V$9,0),0),"")</f>
        <v>0</v>
      </c>
      <c r="W21" t="str">
        <f>+IFERROR(VLOOKUP($F21,Oficinas_1,MATCH(W$5,Oficinas!$D$9:$V$9,0),0),"")</f>
        <v>Mantener el proceso dentro de los términos legales establecidos, lo cual redunda en garantía de derechos para el investigado.</v>
      </c>
      <c r="X21" t="str">
        <f>+IFERROR(VLOOKUP($F21,Oficinas_1,MATCH(X$5,Oficinas!$D$9:$V$9,0),0),"")</f>
        <v>Listado de expedientes.</v>
      </c>
      <c r="Y21">
        <f>+IFERROR(IF(ISBLANK(VLOOKUP(CONCATENATE($F21,"_",Y$4),Oficinas_2,MATCH(Y$3,Oficinas!$F$26:$O$26,0),0)),"",VLOOKUP(CONCATENATE($F21,"_",Y$4),Oficinas_2,MATCH(Y$3,Oficinas!$F$26:$O$26,0),0)),"")</f>
        <v>43</v>
      </c>
      <c r="Z21">
        <f>+IFERROR(IF(ISBLANK(VLOOKUP(CONCATENATE($F21,"_",Z$4),Oficinas_2,MATCH(Z$3,Oficinas!$F$26:$O$26,0),0)),"",VLOOKUP(CONCATENATE($F21,"_",Z$4),Oficinas_2,MATCH(Z$3,Oficinas!$F$26:$O$26,0),0)),"")</f>
        <v>45</v>
      </c>
      <c r="AA21" t="str">
        <f>+IFERROR(IF(ISBLANK(VLOOKUP(CONCATENATE($F21,"_",AA$4),Oficinas_2,MATCH(AA$3,Oficinas!$F$26:$O$26,0),0)),"",VLOOKUP(CONCATENATE($F21,"_",AA$4),Oficinas_2,MATCH(AA$3,Oficinas!$F$26:$O$26,0),0)),"")</f>
        <v xml:space="preserve">De los 45 expedientes en curso, 43 se encontraban con etapa procesal en terminos. La Jefe de la Oficina realiza seguimiento mensual a los procesos con terminos proximos a vencer, con el fin de que el profesional a cargo del expediente priorice la actuacion que corresponda según la etapa en que se encuentre; lo cual se verifica en la reunion del Subcomite de autocontrol mensual. </v>
      </c>
      <c r="AB21" t="str">
        <f>+IFERROR(IF(ISBLANK(VLOOKUP(CONCATENATE($F21,"_",AB$4),Oficinas_2,MATCH(AB$3,Oficinas!$F$26:$O$26,0),0)),"",VLOOKUP(CONCATENATE($F21,"_",AB$4),Oficinas_2,MATCH(AB$3,Oficinas!$F$26:$O$26,0),0)),"")</f>
        <v xml:space="preserve">La rotacion de personal en la Oficina, por causa de renuncias en cargos de provisionalidad,   dificulta y afecta el cumplimiento de los terminos en las actuaciones disciplinarias. Al finalizar el año 2019 se presento la renuncia de un profesional, factor que afecta el desarrollo normal de todas las actuaciones disciplinarias dada la  reasignacion de procesos que se debe realizar entre los profesionales de la Oficina con el fin de priorizar aquellos que esten proximos a vencer </v>
      </c>
      <c r="AC21" t="str">
        <f>+IFERROR(IF(ISBLANK(VLOOKUP(CONCATENATE($F21,"_",AC$4),Oficinas_2,MATCH(AC$3,Oficinas!$F$26:$O$26,0),0)),"",VLOOKUP(CONCATENATE($F21,"_",AC$4),Oficinas_2,MATCH(AC$3,Oficinas!$F$26:$O$26,0),0)),"")</f>
        <v>Adelantar y sustanciar, en los terminos de Ley, las decisiones de cada una de las etapas del proceso disciplinario.</v>
      </c>
      <c r="AD21">
        <f>+IFERROR(IF(ISBLANK(VLOOKUP(CONCATENATE($F21,"_",AD$4),Oficinas_2,MATCH(AD$3,Oficinas!$F$26:$O$26,0),0)),"",VLOOKUP(CONCATENATE($F21,"_",AD$4),Oficinas_2,MATCH(AD$3,Oficinas!$F$26:$O$26,0),0)),"")</f>
        <v>50</v>
      </c>
      <c r="AE21">
        <f>+IFERROR(IF(ISBLANK(VLOOKUP(CONCATENATE($F21,"_",AE$4),Oficinas_2,MATCH(AE$3,Oficinas!$F$26:$O$26,0),0)),"",VLOOKUP(CONCATENATE($F21,"_",AE$4),Oficinas_2,MATCH(AE$3,Oficinas!$F$26:$O$26,0),0)),"")</f>
        <v>53</v>
      </c>
      <c r="AF21" t="str">
        <f>+IFERROR(IF(ISBLANK(VLOOKUP(CONCATENATE($F21,"_",AF$4),Oficinas_2,MATCH(AF$3,Oficinas!$F$26:$O$26,0),0)),"",VLOOKUP(CONCATENATE($F21,"_",AF$4),Oficinas_2,MATCH(AF$3,Oficinas!$F$26:$O$26,0),0)),"")</f>
        <v xml:space="preserve">De los 53 expedientes en curso, 50 se encontraban con etapa procesal en terminos. La Jefe de la Oficina realiza seguimiento mensual a los procesos con terminos proximos a vencer, con el fin de que el profesional a cargo del expediente priorice la actuacion que corresponda según la etapa en que se encuentre; lo cual se verifica en la reunion del Subcomite de autocontrol mensual. </v>
      </c>
      <c r="AG21" t="str">
        <f>+IFERROR(IF(ISBLANK(VLOOKUP(CONCATENATE($F21,"_",AG$4),Oficinas_2,MATCH(AG$3,Oficinas!$F$26:$O$26,0),0)),"",VLOOKUP(CONCATENATE($F21,"_",AG$4),Oficinas_2,MATCH(AG$3,Oficinas!$F$26:$O$26,0),0)),"")</f>
        <v xml:space="preserve">La rotacion de personal en la Oficina, por causa de renuncias en cargos de provisionalidad,   dificulta y afecta el cumplimiento de los terminos en las actuaciones disciplinarias. En el mes de febrero se presento el retiro de un funcionario, lo cual dificulto y afecto el cumplimiento de los terminos en las actuaciones disciplinarias; se reasignaron los procesos a los 2 profesionales de la Oficina con el fin de priorizar aquellos que estaban proximos a vencer. Uno de los procesos vencidos se encuentra pendiente de un concepto solicitado a la procuraduria General de la Nacion, el cual es indisensable para continuar con la actuacion disciplinaria. </v>
      </c>
      <c r="AH21" t="str">
        <f>+IFERROR(IF(ISBLANK(VLOOKUP(CONCATENATE($F21,"_",AH$4),Oficinas_2,MATCH(AH$3,Oficinas!$F$26:$O$26,0),0)),"",VLOOKUP(CONCATENATE($F21,"_",AH$4),Oficinas_2,MATCH(AH$3,Oficinas!$F$26:$O$26,0),0)),"")</f>
        <v>Adelantar y sustanciar, en los terminos de Ley, las decisiones de cada una de las etapas del proceso disciplinario.</v>
      </c>
      <c r="AI21">
        <f>+IFERROR(IF(ISBLANK(VLOOKUP(CONCATENATE($F21,"_",AI$4),Oficinas_2,MATCH(AI$3,Oficinas!$F$26:$O$26,0),0)),"",VLOOKUP(CONCATENATE($F21,"_",AI$4),Oficinas_2,MATCH(AI$3,Oficinas!$F$26:$O$26,0),0)),"")</f>
        <v>51</v>
      </c>
      <c r="AJ21">
        <f>+IFERROR(IF(ISBLANK(VLOOKUP(CONCATENATE($F21,"_",AJ$4),Oficinas_2,MATCH(AJ$3,Oficinas!$F$26:$O$26,0),0)),"",VLOOKUP(CONCATENATE($F21,"_",AJ$4),Oficinas_2,MATCH(AJ$3,Oficinas!$F$26:$O$26,0),0)),"")</f>
        <v>55</v>
      </c>
      <c r="AK21" t="str">
        <f>+IFERROR(IF(ISBLANK(VLOOKUP(CONCATENATE($F21,"_",AK$4),Oficinas_2,MATCH(AK$3,Oficinas!$F$26:$O$26,0),0)),"",VLOOKUP(CONCATENATE($F21,"_",AK$4),Oficinas_2,MATCH(AK$3,Oficinas!$F$26:$O$26,0),0)),"")</f>
        <v xml:space="preserve">De los 55 expedientes en curso, 51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AL21" t="str">
        <f>+IFERROR(IF(ISBLANK(VLOOKUP(CONCATENATE($F21,"_",AL$4),Oficinas_2,MATCH(AL$3,Oficinas!$F$26:$O$26,0),0)),"",VLOOKUP(CONCATENATE($F21,"_",AL$4),Oficinas_2,MATCH(AL$3,Oficinas!$F$26:$O$26,0),0)),"")</f>
        <v xml:space="preserve">La rotacion de personal en la Oficina, por causa de renuncias en cargos de provisionalidad,   dificulta y afecta el cumplimiento de los terminos en las actuaciones disciplinarias. En el mes de febrero se presento el retiro de un funcionario, lo cual dificulto y afecto el cumplimiento de los terminos en las actuaciones disciplinarias, inclusive las del mes de marzo; se reasignaron los procesos a los 2 profesionales de la Oficina con el fin de priorizar aquellos que estaban proximos a vencer. Uno de los procesos vencidos se encuentra pendiente de un concepto solicitado a la procuraduria General de la Nacion, el cual es indisensable para continuar con la actuacion disciplinaria. </v>
      </c>
      <c r="AM21" t="str">
        <f>+IFERROR(IF(ISBLANK(VLOOKUP(CONCATENATE($F21,"_",AM$4),Oficinas_2,MATCH(AM$3,Oficinas!$F$26:$O$26,0),0)),"",VLOOKUP(CONCATENATE($F21,"_",AM$4),Oficinas_2,MATCH(AM$3,Oficinas!$F$26:$O$26,0),0)),"")</f>
        <v>Adelantar y sustanciar, en los terminos de Ley, las decisiones de cada una de las etapas del proceso disciplinario.</v>
      </c>
      <c r="AN21">
        <f>+IFERROR(IF(ISBLANK(VLOOKUP(CONCATENATE($F21,"_",AN$4),Oficinas_2,MATCH(AN$3,Oficinas!$F$26:$O$26,0),0)),"",VLOOKUP(CONCATENATE($F21,"_",AN$4),Oficinas_2,MATCH(AN$3,Oficinas!$F$26:$O$26,0),0)),"")</f>
        <v>56</v>
      </c>
      <c r="AO21">
        <f>+IFERROR(IF(ISBLANK(VLOOKUP(CONCATENATE($F21,"_",AO$4),Oficinas_2,MATCH(AO$3,Oficinas!$F$26:$O$26,0),0)),"",VLOOKUP(CONCATENATE($F21,"_",AO$4),Oficinas_2,MATCH(AO$3,Oficinas!$F$26:$O$26,0),0)),"")</f>
        <v>56</v>
      </c>
      <c r="AP21" t="str">
        <f>+IFERROR(IF(ISBLANK(VLOOKUP(CONCATENATE($F21,"_",AP$4),Oficinas_2,MATCH(AP$3,Oficinas!$F$26:$O$26,0),0)),"",VLOOKUP(CONCATENATE($F21,"_",AP$4),Oficinas_2,MATCH(AP$3,Oficinas!$F$26:$O$26,0),0)),"")</f>
        <v xml:space="preserve">De los 56 expedientes en curso, 56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AQ21" t="str">
        <f>+IFERROR(IF(ISBLANK(VLOOKUP(CONCATENATE($F21,"_",AQ$4),Oficinas_2,MATCH(AQ$3,Oficinas!$F$26:$O$26,0),0)),"",VLOOKUP(CONCATENATE($F21,"_",AQ$4),Oficinas_2,MATCH(AQ$3,Oficinas!$F$26:$O$26,0),0)),"")</f>
        <v>La meta del indicador se cumplio.</v>
      </c>
      <c r="AR21" t="str">
        <f>+IFERROR(IF(ISBLANK(VLOOKUP(CONCATENATE($F21,"_",AR$4),Oficinas_2,MATCH(AR$3,Oficinas!$F$26:$O$26,0),0)),"",VLOOKUP(CONCATENATE($F21,"_",AR$4),Oficinas_2,MATCH(AR$3,Oficinas!$F$26:$O$26,0),0)),"")</f>
        <v>Adelantar y sustanciar, en los terminos de Ley, las decisiones de cada una de las etapas del proceso disciplinario.</v>
      </c>
      <c r="AS21">
        <f>+IFERROR(IF(ISBLANK(VLOOKUP(CONCATENATE($F21,"_",AS$4),Oficinas_2,MATCH(AS$3,Oficinas!$F$26:$O$26,0),0)),"",VLOOKUP(CONCATENATE($F21,"_",AS$4),Oficinas_2,MATCH(AS$3,Oficinas!$F$26:$O$26,0),0)),"")</f>
        <v>57</v>
      </c>
      <c r="AT21">
        <f>+IFERROR(IF(ISBLANK(VLOOKUP(CONCATENATE($F21,"_",AT$4),Oficinas_2,MATCH(AT$3,Oficinas!$F$26:$O$26,0),0)),"",VLOOKUP(CONCATENATE($F21,"_",AT$4),Oficinas_2,MATCH(AT$3,Oficinas!$F$26:$O$26,0),0)),"")</f>
        <v>57</v>
      </c>
      <c r="AU21" t="str">
        <f>+IFERROR(IF(ISBLANK(VLOOKUP(CONCATENATE($F21,"_",AU$4),Oficinas_2,MATCH(AU$3,Oficinas!$F$26:$O$26,0),0)),"",VLOOKUP(CONCATENATE($F21,"_",AU$4),Oficinas_2,MATCH(AU$3,Oficinas!$F$26:$O$26,0),0)),"")</f>
        <v xml:space="preserve">De los 57 expedientes en curso, 57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AV21" t="str">
        <f>+IFERROR(IF(ISBLANK(VLOOKUP(CONCATENATE($F21,"_",AV$4),Oficinas_2,MATCH(AV$3,Oficinas!$F$26:$O$26,0),0)),"",VLOOKUP(CONCATENATE($F21,"_",AV$4),Oficinas_2,MATCH(AV$3,Oficinas!$F$26:$O$26,0),0)),"")</f>
        <v>La meta del indicador se cumplio.</v>
      </c>
      <c r="AW21" t="str">
        <f>+IFERROR(IF(ISBLANK(VLOOKUP(CONCATENATE($F21,"_",AW$4),Oficinas_2,MATCH(AW$3,Oficinas!$F$26:$O$26,0),0)),"",VLOOKUP(CONCATENATE($F21,"_",AW$4),Oficinas_2,MATCH(AW$3,Oficinas!$F$26:$O$26,0),0)),"")</f>
        <v>Adelantar y sustanciar, en los terminos de Ley, las decisiones de cada una de las etapas del proceso disciplinario.</v>
      </c>
      <c r="AX21">
        <f>+IFERROR(IF(ISBLANK(VLOOKUP(CONCATENATE($F21,"_",AX$4),Oficinas_2,MATCH(AX$3,Oficinas!$F$26:$O$26,0),0)),"",VLOOKUP(CONCATENATE($F21,"_",AX$4),Oficinas_2,MATCH(AX$3,Oficinas!$F$26:$O$26,0),0)),"")</f>
        <v>57</v>
      </c>
      <c r="AY21">
        <f>+IFERROR(IF(ISBLANK(VLOOKUP(CONCATENATE($F21,"_",AY$4),Oficinas_2,MATCH(AY$3,Oficinas!$F$26:$O$26,0),0)),"",VLOOKUP(CONCATENATE($F21,"_",AY$4),Oficinas_2,MATCH(AY$3,Oficinas!$F$26:$O$26,0),0)),"")</f>
        <v>57</v>
      </c>
      <c r="AZ21" t="str">
        <f>+IFERROR(IF(ISBLANK(VLOOKUP(CONCATENATE($F21,"_",AZ$4),Oficinas_2,MATCH(AZ$3,Oficinas!$F$26:$O$26,0),0)),"",VLOOKUP(CONCATENATE($F21,"_",AZ$4),Oficinas_2,MATCH(AZ$3,Oficinas!$F$26:$O$26,0),0)),"")</f>
        <v xml:space="preserve">De los 57 expedientes en curso, 57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BA21" t="str">
        <f>+IFERROR(IF(ISBLANK(VLOOKUP(CONCATENATE($F21,"_",BA$4),Oficinas_2,MATCH(BA$3,Oficinas!$F$26:$O$26,0),0)),"",VLOOKUP(CONCATENATE($F21,"_",BA$4),Oficinas_2,MATCH(BA$3,Oficinas!$F$26:$O$26,0),0)),"")</f>
        <v>La meta del indicador se cumplio.</v>
      </c>
      <c r="BB21" t="str">
        <f>+IFERROR(IF(ISBLANK(VLOOKUP(CONCATENATE($F21,"_",BB$4),Oficinas_2,MATCH(BB$3,Oficinas!$F$26:$O$26,0),0)),"",VLOOKUP(CONCATENATE($F21,"_",BB$4),Oficinas_2,MATCH(BB$3,Oficinas!$F$26:$O$26,0),0)),"")</f>
        <v>Adelantar y sustanciar, en los terminos de Ley, las decisiones de cada una de las etapas del proceso disciplinario.</v>
      </c>
      <c r="BC21">
        <f t="shared" si="10"/>
        <v>314</v>
      </c>
      <c r="BD21">
        <f t="shared" si="10"/>
        <v>323</v>
      </c>
      <c r="BE21" s="129" t="str">
        <f>+IFERROR(IF(ISBLANK(VLOOKUP(CONCATENATE($F21,"_",BE$4),P1125_4,MATCH(BE$3,PAAC!$E$19:$M$19,0),0)),"",VLOOKUP(CONCATENATE($F21,"_",BE$4),P1125_4,MATCH(BE$3,PAAC!$E$19:$M$19,0),0)),"")</f>
        <v/>
      </c>
      <c r="BF21" s="129" t="str">
        <f>+IFERROR(IF(ISBLANK(VLOOKUP(CONCATENATE($F21,"_",BF$4),P1125_4,MATCH(BF$3,PAAC!$E$19:$M$19,0),0)),"",VLOOKUP(CONCATENATE($F21,"_",BF$4),P1125_4,MATCH(BF$3,PAAC!$E$19:$M$19,0),0)),"")</f>
        <v/>
      </c>
      <c r="BG21" s="129" t="str">
        <f>+IFERROR(IF(ISBLANK(VLOOKUP(CONCATENATE($F21,"_",BG$4),P1125_4,MATCH(BG$3,PAAC!$E$19:$M$19,0),0)),"",VLOOKUP(CONCATENATE($F21,"_",BG$4),P1125_4,MATCH(BG$3,PAAC!$E$19:$M$19,0),0)),"")</f>
        <v/>
      </c>
      <c r="BH21" s="129" t="str">
        <f>+IFERROR(IF(ISBLANK(VLOOKUP(CONCATENATE($F21,"_",BH$4),P1125_4,MATCH(BH$3,PAAC!$E$19:$M$19,0),0)),"",VLOOKUP(CONCATENATE($F21,"_",BH$4),P1125_4,MATCH(BH$3,PAAC!$E$19:$M$19,0),0)),"")</f>
        <v/>
      </c>
      <c r="BI21" s="129" t="str">
        <f>+IFERROR(IF(ISBLANK(VLOOKUP(CONCATENATE($F21,"_",BI$4),P1125_4,MATCH(BI$3,PAAC!$E$19:$M$19,0),0)),"",VLOOKUP(CONCATENATE($F21,"_",BI$4),P1125_4,MATCH(BI$3,PAAC!$E$19:$M$19,0),0)),"")</f>
        <v/>
      </c>
      <c r="BJ21" s="129" t="str">
        <f>+IFERROR(IF(ISBLANK(VLOOKUP(CONCATENATE($F21,"_",BJ$4),P1125_4,MATCH(BJ$3,PAAC!$E$19:$M$19,0),0)),"",VLOOKUP(CONCATENATE($F21,"_",BJ$4),P1125_4,MATCH(BJ$3,PAAC!$E$19:$M$19,0),0)),"")</f>
        <v/>
      </c>
      <c r="BK21" s="129" t="str">
        <f>+IFERROR(IF(ISBLANK(VLOOKUP(CONCATENATE($F21,"_",BK$4),P1125_4,MATCH(BK$3,PAAC!$E$19:$M$19,0),0)),"",VLOOKUP(CONCATENATE($F21,"_",BK$4),P1125_4,MATCH(BK$3,PAAC!$E$19:$M$19,0),0)),"")</f>
        <v/>
      </c>
      <c r="BL21" s="129" t="str">
        <f>+IFERROR(IF(ISBLANK(VLOOKUP(CONCATENATE($F21,"_",BL$4),P1125_4,MATCH(BL$3,PAAC!$E$19:$M$19,0),0)),"",VLOOKUP(CONCATENATE($F21,"_",BL$4),P1125_4,MATCH(BL$3,PAAC!$E$19:$M$19,0),0)),"")</f>
        <v/>
      </c>
      <c r="BM21" s="129" t="str">
        <f>+IFERROR(IF(ISBLANK(VLOOKUP(CONCATENATE($F21,"_",BM$4),P1125_4,MATCH(BM$3,PAAC!$E$19:$M$19,0),0)),"",VLOOKUP(CONCATENATE($F21,"_",BM$4),P1125_4,MATCH(BM$3,PAAC!$E$19:$M$19,0),0)),"")</f>
        <v/>
      </c>
      <c r="BN21" s="129" t="str">
        <f>+IFERROR(IF(ISBLANK(VLOOKUP(CONCATENATE($F21,"_",BN$4),P1125_4,MATCH(BN$3,PAAC!$E$19:$M$19,0),0)),"",VLOOKUP(CONCATENATE($F21,"_",BN$4),P1125_4,MATCH(BN$3,PAAC!$E$19:$M$19,0),0)),"")</f>
        <v/>
      </c>
      <c r="BO21" s="129" t="str">
        <f>+IFERROR(IF(ISBLANK(VLOOKUP(CONCATENATE($F21,"_",BO$4),P1125_4,MATCH(BO$3,PAAC!$E$19:$M$19,0),0)),"",VLOOKUP(CONCATENATE($F21,"_",BO$4),P1125_4,MATCH(BO$3,PAAC!$E$19:$M$19,0),0)),"")</f>
        <v/>
      </c>
      <c r="BP21" s="129" t="str">
        <f>+IFERROR(IF(ISBLANK(VLOOKUP(CONCATENATE($F21,"_",BP$4),P1125_4,MATCH(BP$3,PAAC!$E$19:$M$19,0),0)),"",VLOOKUP(CONCATENATE($F21,"_",BP$4),P1125_4,MATCH(BP$3,PAAC!$E$19:$M$19,0),0)),"")</f>
        <v/>
      </c>
      <c r="BQ21" s="129" t="str">
        <f>+IFERROR(IF(ISBLANK(VLOOKUP(CONCATENATE($F21,"_",BQ$4),P1125_4,MATCH(BQ$3,PAAC!$E$19:$M$19,0),0)),"",VLOOKUP(CONCATENATE($F21,"_",BQ$4),P1125_4,MATCH(BQ$3,PAAC!$E$19:$M$19,0),0)),"")</f>
        <v/>
      </c>
      <c r="BR21" s="129" t="str">
        <f>+IFERROR(IF(ISBLANK(VLOOKUP(CONCATENATE($F21,"_",BR$4),P1125_4,MATCH(BR$3,PAAC!$E$19:$M$19,0),0)),"",VLOOKUP(CONCATENATE($F21,"_",BR$4),P1125_4,MATCH(BR$3,PAAC!$E$19:$M$19,0),0)),"")</f>
        <v/>
      </c>
      <c r="BS21" s="129" t="str">
        <f>+IFERROR(IF(ISBLANK(VLOOKUP(CONCATENATE($F21,"_",BS$4),P1125_4,MATCH(BS$3,PAAC!$E$19:$M$19,0),0)),"",VLOOKUP(CONCATENATE($F21,"_",BS$4),P1125_4,MATCH(BS$3,PAAC!$E$19:$M$19,0),0)),"")</f>
        <v/>
      </c>
      <c r="BT21" s="129" t="str">
        <f>+IFERROR(IF(ISBLANK(VLOOKUP(CONCATENATE($F21,"_",BT$4),P1125_4,MATCH(BT$3,PAAC!$E$19:$M$19,0),0)),"",VLOOKUP(CONCATENATE($F21,"_",BT$4),P1125_4,MATCH(BT$3,PAAC!$E$19:$M$19,0),0)),"")</f>
        <v/>
      </c>
      <c r="BU21" s="129" t="str">
        <f>+IFERROR(IF(ISBLANK(VLOOKUP(CONCATENATE($F21,"_",BU$4),P1125_4,MATCH(BU$3,PAAC!$E$19:$M$19,0),0)),"",VLOOKUP(CONCATENATE($F21,"_",BU$4),P1125_4,MATCH(BU$3,PAAC!$E$19:$M$19,0),0)),"")</f>
        <v/>
      </c>
      <c r="BV21" s="129" t="str">
        <f>+IFERROR(IF(ISBLANK(VLOOKUP(CONCATENATE($F21,"_",BV$4),P1125_4,MATCH(BV$3,PAAC!$E$19:$M$19,0),0)),"",VLOOKUP(CONCATENATE($F21,"_",BV$4),P1125_4,MATCH(BV$3,PAAC!$E$19:$M$19,0),0)),"")</f>
        <v/>
      </c>
      <c r="BW21" s="129" t="str">
        <f>+IFERROR(IF(ISBLANK(VLOOKUP(CONCATENATE($F21,"_",BW$4),P1125_4,MATCH(BW$3,PAAC!$E$19:$M$19,0),0)),"",VLOOKUP(CONCATENATE($F21,"_",BW$4),P1125_4,MATCH(BW$3,PAAC!$E$19:$M$19,0),0)),"")</f>
        <v/>
      </c>
      <c r="BX21" s="129" t="str">
        <f>+IFERROR(IF(ISBLANK(VLOOKUP(CONCATENATE($F21,"_",BX$4),P1125_4,MATCH(BX$3,PAAC!$E$19:$M$19,0),0)),"",VLOOKUP(CONCATENATE($F21,"_",BX$4),P1125_4,MATCH(BX$3,PAAC!$E$19:$M$19,0),0)),"")</f>
        <v/>
      </c>
      <c r="BY21" s="129" t="str">
        <f>+IFERROR(IF(ISBLANK(VLOOKUP(CONCATENATE($F21,"_",BY$4),P1125_4,MATCH(BY$3,PAAC!$E$19:$M$19,0),0)),"",VLOOKUP(CONCATENATE($F21,"_",BY$4),P1125_4,MATCH(BY$3,PAAC!$E$19:$M$19,0),0)),"")</f>
        <v/>
      </c>
      <c r="BZ21" s="129" t="str">
        <f>+IFERROR(IF(ISBLANK(VLOOKUP(CONCATENATE($F21,"_",BZ$4),P1125_4,MATCH(BZ$3,PAAC!$E$19:$M$19,0),0)),"",VLOOKUP(CONCATENATE($F21,"_",BZ$4),P1125_4,MATCH(BZ$3,PAAC!$E$19:$M$19,0),0)),"")</f>
        <v/>
      </c>
      <c r="CA21" s="129" t="str">
        <f>+IFERROR(IF(ISBLANK(VLOOKUP(CONCATENATE($F21,"_",CA$4),P1125_4,MATCH(CA$3,PAAC!$E$19:$M$19,0),0)),"",VLOOKUP(CONCATENATE($F21,"_",CA$4),P1125_4,MATCH(CA$3,PAAC!$E$19:$M$19,0),0)),"")</f>
        <v/>
      </c>
      <c r="CB21" s="129" t="str">
        <f>+IFERROR(IF(ISBLANK(VLOOKUP(CONCATENATE($F21,"_",CB$4),P1125_4,MATCH(CB$3,PAAC!$E$19:$M$19,0),0)),"",VLOOKUP(CONCATENATE($F21,"_",CB$4),P1125_4,MATCH(CB$3,PAAC!$E$19:$M$19,0),0)),"")</f>
        <v/>
      </c>
      <c r="CC21" s="129" t="str">
        <f>+IFERROR(IF(ISBLANK(VLOOKUP(CONCATENATE($F21,"_",CC$4),P1125_4,MATCH(CC$3,PAAC!$E$19:$M$19,0),0)),"",VLOOKUP(CONCATENATE($F21,"_",CC$4),P1125_4,MATCH(CC$3,PAAC!$E$19:$M$19,0),0)),"")</f>
        <v/>
      </c>
      <c r="CD21" s="129" t="str">
        <f t="shared" si="11"/>
        <v/>
      </c>
      <c r="CE21" s="129" t="str">
        <f t="shared" si="3"/>
        <v/>
      </c>
      <c r="CF21" s="129" t="str">
        <f t="shared" si="4"/>
        <v/>
      </c>
      <c r="CG21" s="129" t="str">
        <f t="shared" si="5"/>
        <v/>
      </c>
      <c r="CH21" s="129" t="str">
        <f t="shared" si="6"/>
        <v/>
      </c>
      <c r="CI21" t="str">
        <f t="shared" si="18"/>
        <v>Cumple</v>
      </c>
      <c r="CJ21" t="str">
        <f t="shared" si="18"/>
        <v>Satisfactorio</v>
      </c>
      <c r="CK21" t="str">
        <f t="shared" si="18"/>
        <v>No adecuado</v>
      </c>
      <c r="CL21" t="str">
        <f t="shared" si="18"/>
        <v>Coherente</v>
      </c>
      <c r="CM21" t="str">
        <f t="shared" si="18"/>
        <v>Concuerda</v>
      </c>
      <c r="CN21" t="str">
        <f t="shared" si="18"/>
        <v>Concuerda</v>
      </c>
      <c r="CO21" t="str">
        <f t="shared" si="18"/>
        <v>Relación directa</v>
      </c>
      <c r="CP21" t="str">
        <f t="shared" si="18"/>
        <v>Adecuado</v>
      </c>
      <c r="CQ21" t="str">
        <f t="shared" si="18"/>
        <v>Oportuna</v>
      </c>
      <c r="CR21" t="str">
        <f t="shared" si="18"/>
        <v>C3: Se atendió la observación de inluir en avance cuantitativo dentro del reporte de la gestión realizada.</v>
      </c>
      <c r="CS21" t="str">
        <f t="shared" si="19"/>
        <v>Cesar Arcos</v>
      </c>
      <c r="CT21" t="str">
        <f t="shared" si="19"/>
        <v>Cumple</v>
      </c>
      <c r="CU21" t="str">
        <f t="shared" si="19"/>
        <v>Cumplido</v>
      </c>
      <c r="CV21" t="str">
        <f t="shared" si="19"/>
        <v>Adecuado</v>
      </c>
      <c r="CW21" t="str">
        <f t="shared" si="19"/>
        <v>Incoherente</v>
      </c>
      <c r="CX21" t="str">
        <f t="shared" si="19"/>
        <v>Difiere</v>
      </c>
      <c r="CY21" t="str">
        <f t="shared" si="19"/>
        <v>Concuerda</v>
      </c>
      <c r="CZ21" t="str">
        <f t="shared" si="19"/>
        <v>Relación directa</v>
      </c>
      <c r="DA21" t="str">
        <f t="shared" si="19"/>
        <v>Adecuado</v>
      </c>
      <c r="DB21" t="str">
        <f t="shared" si="19"/>
        <v>Oportuna</v>
      </c>
      <c r="DC21" t="str">
        <f t="shared" si="20"/>
        <v>C4 y C5. El avance reportado en la gestión corresponde al indicador 160, lo cuál fue notificado por el lider del proceso mediante correo electrónico del 14 de julio.</v>
      </c>
      <c r="DD21" t="str">
        <f t="shared" si="20"/>
        <v>Cesar Arcos</v>
      </c>
      <c r="DE21" t="e">
        <f t="shared" si="20"/>
        <v>#REF!</v>
      </c>
      <c r="DF21" t="e">
        <f t="shared" si="20"/>
        <v>#REF!</v>
      </c>
      <c r="DG21" t="e">
        <f t="shared" si="20"/>
        <v>#REF!</v>
      </c>
      <c r="DH21" t="e">
        <f t="shared" si="20"/>
        <v>#REF!</v>
      </c>
      <c r="DI21" t="e">
        <f t="shared" si="20"/>
        <v>#REF!</v>
      </c>
      <c r="DJ21" t="e">
        <f t="shared" si="20"/>
        <v>#REF!</v>
      </c>
      <c r="DK21" t="e">
        <f t="shared" si="20"/>
        <v>#REF!</v>
      </c>
      <c r="DL21" t="e">
        <f t="shared" si="20"/>
        <v>#REF!</v>
      </c>
      <c r="DM21" t="e">
        <f t="shared" si="21"/>
        <v>#REF!</v>
      </c>
      <c r="DN21" t="e">
        <f t="shared" si="21"/>
        <v>#REF!</v>
      </c>
      <c r="DO21" t="e">
        <f t="shared" si="21"/>
        <v>#REF!</v>
      </c>
      <c r="DP21" t="e">
        <f t="shared" si="21"/>
        <v>#REF!</v>
      </c>
      <c r="DQ21" t="e">
        <f t="shared" si="21"/>
        <v>#REF!</v>
      </c>
      <c r="DR21" t="e">
        <f t="shared" si="21"/>
        <v>#REF!</v>
      </c>
      <c r="DS21" t="e">
        <f t="shared" si="21"/>
        <v>#REF!</v>
      </c>
      <c r="DT21" t="e">
        <f t="shared" si="21"/>
        <v>#REF!</v>
      </c>
      <c r="DU21" t="e">
        <f t="shared" si="21"/>
        <v>#REF!</v>
      </c>
      <c r="DV21" t="e">
        <f t="shared" si="21"/>
        <v>#REF!</v>
      </c>
      <c r="DW21" t="e">
        <f t="shared" si="21"/>
        <v>#REF!</v>
      </c>
      <c r="DX21" t="e">
        <f t="shared" si="21"/>
        <v>#REF!</v>
      </c>
    </row>
    <row r="22" spans="1:128" x14ac:dyDescent="0.3">
      <c r="A22" s="423">
        <f t="shared" si="16"/>
        <v>161</v>
      </c>
      <c r="B22" t="str">
        <f t="shared" si="17"/>
        <v>1_Oficina de Protocolo</v>
      </c>
      <c r="C22">
        <f t="shared" si="8"/>
        <v>1</v>
      </c>
      <c r="D22" t="str">
        <f t="shared" si="0"/>
        <v>Oficina de Protocolo</v>
      </c>
      <c r="E22" t="str">
        <f t="shared" si="1"/>
        <v>pro</v>
      </c>
      <c r="F22" s="208">
        <f>Oficinas!D20</f>
        <v>161</v>
      </c>
      <c r="G22" t="str">
        <f t="shared" si="2"/>
        <v>Constante</v>
      </c>
      <c r="H22" t="str">
        <f t="shared" si="2"/>
        <v>Porcentaje</v>
      </c>
      <c r="I22">
        <f t="shared" si="2"/>
        <v>0.9</v>
      </c>
      <c r="J22">
        <f t="shared" si="2"/>
        <v>0.95</v>
      </c>
      <c r="K22" t="str">
        <f>+IFERROR(VLOOKUP($F22,Oficinas_1,MATCH(K$5,Oficinas!$D$9:$V$9,0),0),"")</f>
        <v>Constante</v>
      </c>
      <c r="L22" t="str">
        <f>+IFERROR(VLOOKUP($F22,Oficinas_1,MATCH(L$5,Oficinas!$D$9:$V$9,0),0),"")</f>
        <v/>
      </c>
      <c r="M22">
        <f t="shared" si="9"/>
        <v>0</v>
      </c>
      <c r="N22">
        <f>+IFERROR(VLOOKUP($F22,Oficinas_1,MATCH(N$5,Oficinas!$D$9:$V$9,0),0),"")</f>
        <v>0</v>
      </c>
      <c r="O22">
        <f>+IFERROR(VLOOKUP($F22,Oficinas_1,MATCH(O$5,Oficinas!$D$9:$V$9,0),0),"")</f>
        <v>0</v>
      </c>
      <c r="P22">
        <f>+IFERROR(VLOOKUP($F22,Oficinas_1,MATCH(P$5,Oficinas!$D$9:$V$9,0),0),"")</f>
        <v>0</v>
      </c>
      <c r="Q22">
        <f>+IFERROR(VLOOKUP($F22,Oficinas_1,MATCH(Q$5,Oficinas!$D$9:$V$9,0),0),"")</f>
        <v>0</v>
      </c>
      <c r="R22">
        <f>+IFERROR(VLOOKUP($F22,Oficinas_1,MATCH(R$5,Oficinas!$D$9:$V$9,0),0),"")</f>
        <v>0</v>
      </c>
      <c r="S22">
        <f>+IFERROR(VLOOKUP($F22,Oficinas_1,MATCH(S$5,Oficinas!$D$9:$V$9,0),0),"")</f>
        <v>0</v>
      </c>
      <c r="T22">
        <f>+IFERROR(VLOOKUP($F22,Oficinas_1,MATCH(T$5,Oficinas!$D$9:$V$9,0),0),"")</f>
        <v>0</v>
      </c>
      <c r="U22" t="str">
        <f>+IFERROR(VLOOKUP($F22,Oficinas_1,MATCH(U$5,Oficinas!$D$9:$V$9,0),0),"")</f>
        <v>El indicador evalúa la satisfacción respecto a las actividades  relacionadas con los servicios protocolarios, surgidos en el marco de la gestión pública del Alcalde Mayor y las entidades referentes.</v>
      </c>
      <c r="V22">
        <f>+IFERROR(VLOOKUP($F22,Oficinas_1,MATCH(V$5,Oficinas!$D$9:$V$9,0),0),"")</f>
        <v>0</v>
      </c>
      <c r="W22" t="str">
        <f>+IFERROR(VLOOKUP($F22,Oficinas_1,MATCH(W$5,Oficinas!$D$9:$V$9,0),0),"")</f>
        <v>Identificar los potenciales riesgos que se puedan presentar y que afecten la satisfacción de los usuarios de los servicios protocolarios</v>
      </c>
      <c r="X22" t="str">
        <f>+IFERROR(VLOOKUP($F22,Oficinas_1,MATCH(X$5,Oficinas!$D$9:$V$9,0),0),"")</f>
        <v>Resultados de las encuestas de satisfacción aplicadas</v>
      </c>
      <c r="Y22" t="str">
        <f>+IFERROR(IF(ISBLANK(VLOOKUP(CONCATENATE($F22,"_",Y$4),Oficinas_2,MATCH(Y$3,Oficinas!$F$26:$O$26,0),0)),"",VLOOKUP(CONCATENATE($F22,"_",Y$4),Oficinas_2,MATCH(Y$3,Oficinas!$F$26:$O$26,0),0)),"")</f>
        <v/>
      </c>
      <c r="Z22" t="str">
        <f>+IFERROR(IF(ISBLANK(VLOOKUP(CONCATENATE($F22,"_",Z$4),Oficinas_2,MATCH(Z$3,Oficinas!$F$26:$O$26,0),0)),"",VLOOKUP(CONCATENATE($F22,"_",Z$4),Oficinas_2,MATCH(Z$3,Oficinas!$F$26:$O$26,0),0)),"")</f>
        <v/>
      </c>
      <c r="AA22" t="str">
        <f>+IFERROR(IF(ISBLANK(VLOOKUP(CONCATENATE($F22,"_",AA$4),Oficinas_2,MATCH(AA$3,Oficinas!$F$26:$O$26,0),0)),"",VLOOKUP(CONCATENATE($F22,"_",AA$4),Oficinas_2,MATCH(AA$3,Oficinas!$F$26:$O$26,0),0)),"")</f>
        <v/>
      </c>
      <c r="AB22" t="str">
        <f>+IFERROR(IF(ISBLANK(VLOOKUP(CONCATENATE($F22,"_",AB$4),Oficinas_2,MATCH(AB$3,Oficinas!$F$26:$O$26,0),0)),"",VLOOKUP(CONCATENATE($F22,"_",AB$4),Oficinas_2,MATCH(AB$3,Oficinas!$F$26:$O$26,0),0)),"")</f>
        <v/>
      </c>
      <c r="AC22" t="str">
        <f>+IFERROR(IF(ISBLANK(VLOOKUP(CONCATENATE($F22,"_",AC$4),Oficinas_2,MATCH(AC$3,Oficinas!$F$26:$O$26,0),0)),"",VLOOKUP(CONCATENATE($F22,"_",AC$4),Oficinas_2,MATCH(AC$3,Oficinas!$F$26:$O$26,0),0)),"")</f>
        <v/>
      </c>
      <c r="AD22" t="str">
        <f>+IFERROR(IF(ISBLANK(VLOOKUP(CONCATENATE($F22,"_",AD$4),Oficinas_2,MATCH(AD$3,Oficinas!$F$26:$O$26,0),0)),"",VLOOKUP(CONCATENATE($F22,"_",AD$4),Oficinas_2,MATCH(AD$3,Oficinas!$F$26:$O$26,0),0)),"")</f>
        <v/>
      </c>
      <c r="AE22" t="str">
        <f>+IFERROR(IF(ISBLANK(VLOOKUP(CONCATENATE($F22,"_",AE$4),Oficinas_2,MATCH(AE$3,Oficinas!$F$26:$O$26,0),0)),"",VLOOKUP(CONCATENATE($F22,"_",AE$4),Oficinas_2,MATCH(AE$3,Oficinas!$F$26:$O$26,0),0)),"")</f>
        <v/>
      </c>
      <c r="AF22" t="str">
        <f>+IFERROR(IF(ISBLANK(VLOOKUP(CONCATENATE($F22,"_",AF$4),Oficinas_2,MATCH(AF$3,Oficinas!$F$26:$O$26,0),0)),"",VLOOKUP(CONCATENATE($F22,"_",AF$4),Oficinas_2,MATCH(AF$3,Oficinas!$F$26:$O$26,0),0)),"")</f>
        <v/>
      </c>
      <c r="AG22" t="str">
        <f>+IFERROR(IF(ISBLANK(VLOOKUP(CONCATENATE($F22,"_",AG$4),Oficinas_2,MATCH(AG$3,Oficinas!$F$26:$O$26,0),0)),"",VLOOKUP(CONCATENATE($F22,"_",AG$4),Oficinas_2,MATCH(AG$3,Oficinas!$F$26:$O$26,0),0)),"")</f>
        <v/>
      </c>
      <c r="AH22" t="str">
        <f>+IFERROR(IF(ISBLANK(VLOOKUP(CONCATENATE($F22,"_",AH$4),Oficinas_2,MATCH(AH$3,Oficinas!$F$26:$O$26,0),0)),"",VLOOKUP(CONCATENATE($F22,"_",AH$4),Oficinas_2,MATCH(AH$3,Oficinas!$F$26:$O$26,0),0)),"")</f>
        <v/>
      </c>
      <c r="AI22" t="str">
        <f>+IFERROR(IF(ISBLANK(VLOOKUP(CONCATENATE($F22,"_",AI$4),Oficinas_2,MATCH(AI$3,Oficinas!$F$26:$O$26,0),0)),"",VLOOKUP(CONCATENATE($F22,"_",AI$4),Oficinas_2,MATCH(AI$3,Oficinas!$F$26:$O$26,0),0)),"")</f>
        <v/>
      </c>
      <c r="AJ22" t="str">
        <f>+IFERROR(IF(ISBLANK(VLOOKUP(CONCATENATE($F22,"_",AJ$4),Oficinas_2,MATCH(AJ$3,Oficinas!$F$26:$O$26,0),0)),"",VLOOKUP(CONCATENATE($F22,"_",AJ$4),Oficinas_2,MATCH(AJ$3,Oficinas!$F$26:$O$26,0),0)),"")</f>
        <v/>
      </c>
      <c r="AK22" t="str">
        <f>+IFERROR(IF(ISBLANK(VLOOKUP(CONCATENATE($F22,"_",AK$4),Oficinas_2,MATCH(AK$3,Oficinas!$F$26:$O$26,0),0)),"",VLOOKUP(CONCATENATE($F22,"_",AK$4),Oficinas_2,MATCH(AK$3,Oficinas!$F$26:$O$26,0),0)),"")</f>
        <v/>
      </c>
      <c r="AL22" t="str">
        <f>+IFERROR(IF(ISBLANK(VLOOKUP(CONCATENATE($F22,"_",AL$4),Oficinas_2,MATCH(AL$3,Oficinas!$F$26:$O$26,0),0)),"",VLOOKUP(CONCATENATE($F22,"_",AL$4),Oficinas_2,MATCH(AL$3,Oficinas!$F$26:$O$26,0),0)),"")</f>
        <v/>
      </c>
      <c r="AM22" t="str">
        <f>+IFERROR(IF(ISBLANK(VLOOKUP(CONCATENATE($F22,"_",AM$4),Oficinas_2,MATCH(AM$3,Oficinas!$F$26:$O$26,0),0)),"",VLOOKUP(CONCATENATE($F22,"_",AM$4),Oficinas_2,MATCH(AM$3,Oficinas!$F$26:$O$26,0),0)),"")</f>
        <v/>
      </c>
      <c r="AN22" t="str">
        <f>+IFERROR(IF(ISBLANK(VLOOKUP(CONCATENATE($F22,"_",AN$4),Oficinas_2,MATCH(AN$3,Oficinas!$F$26:$O$26,0),0)),"",VLOOKUP(CONCATENATE($F22,"_",AN$4),Oficinas_2,MATCH(AN$3,Oficinas!$F$26:$O$26,0),0)),"")</f>
        <v/>
      </c>
      <c r="AO22" t="str">
        <f>+IFERROR(IF(ISBLANK(VLOOKUP(CONCATENATE($F22,"_",AO$4),Oficinas_2,MATCH(AO$3,Oficinas!$F$26:$O$26,0),0)),"",VLOOKUP(CONCATENATE($F22,"_",AO$4),Oficinas_2,MATCH(AO$3,Oficinas!$F$26:$O$26,0),0)),"")</f>
        <v/>
      </c>
      <c r="AP22" t="str">
        <f>+IFERROR(IF(ISBLANK(VLOOKUP(CONCATENATE($F22,"_",AP$4),Oficinas_2,MATCH(AP$3,Oficinas!$F$26:$O$26,0),0)),"",VLOOKUP(CONCATENATE($F22,"_",AP$4),Oficinas_2,MATCH(AP$3,Oficinas!$F$26:$O$26,0),0)),"")</f>
        <v/>
      </c>
      <c r="AQ22" t="str">
        <f>+IFERROR(IF(ISBLANK(VLOOKUP(CONCATENATE($F22,"_",AQ$4),Oficinas_2,MATCH(AQ$3,Oficinas!$F$26:$O$26,0),0)),"",VLOOKUP(CONCATENATE($F22,"_",AQ$4),Oficinas_2,MATCH(AQ$3,Oficinas!$F$26:$O$26,0),0)),"")</f>
        <v/>
      </c>
      <c r="AR22" t="str">
        <f>+IFERROR(IF(ISBLANK(VLOOKUP(CONCATENATE($F22,"_",AR$4),Oficinas_2,MATCH(AR$3,Oficinas!$F$26:$O$26,0),0)),"",VLOOKUP(CONCATENATE($F22,"_",AR$4),Oficinas_2,MATCH(AR$3,Oficinas!$F$26:$O$26,0),0)),"")</f>
        <v/>
      </c>
      <c r="AS22" t="str">
        <f>+IFERROR(IF(ISBLANK(VLOOKUP(CONCATENATE($F22,"_",AS$4),Oficinas_2,MATCH(AS$3,Oficinas!$F$26:$O$26,0),0)),"",VLOOKUP(CONCATENATE($F22,"_",AS$4),Oficinas_2,MATCH(AS$3,Oficinas!$F$26:$O$26,0),0)),"")</f>
        <v/>
      </c>
      <c r="AT22" t="str">
        <f>+IFERROR(IF(ISBLANK(VLOOKUP(CONCATENATE($F22,"_",AT$4),Oficinas_2,MATCH(AT$3,Oficinas!$F$26:$O$26,0),0)),"",VLOOKUP(CONCATENATE($F22,"_",AT$4),Oficinas_2,MATCH(AT$3,Oficinas!$F$26:$O$26,0),0)),"")</f>
        <v/>
      </c>
      <c r="AU22" t="str">
        <f>+IFERROR(IF(ISBLANK(VLOOKUP(CONCATENATE($F22,"_",AU$4),Oficinas_2,MATCH(AU$3,Oficinas!$F$26:$O$26,0),0)),"",VLOOKUP(CONCATENATE($F22,"_",AU$4),Oficinas_2,MATCH(AU$3,Oficinas!$F$26:$O$26,0),0)),"")</f>
        <v/>
      </c>
      <c r="AV22" t="str">
        <f>+IFERROR(IF(ISBLANK(VLOOKUP(CONCATENATE($F22,"_",AV$4),Oficinas_2,MATCH(AV$3,Oficinas!$F$26:$O$26,0),0)),"",VLOOKUP(CONCATENATE($F22,"_",AV$4),Oficinas_2,MATCH(AV$3,Oficinas!$F$26:$O$26,0),0)),"")</f>
        <v/>
      </c>
      <c r="AW22" t="str">
        <f>+IFERROR(IF(ISBLANK(VLOOKUP(CONCATENATE($F22,"_",AW$4),Oficinas_2,MATCH(AW$3,Oficinas!$F$26:$O$26,0),0)),"",VLOOKUP(CONCATENATE($F22,"_",AW$4),Oficinas_2,MATCH(AW$3,Oficinas!$F$26:$O$26,0),0)),"")</f>
        <v/>
      </c>
      <c r="AX22" t="str">
        <f>+IFERROR(IF(ISBLANK(VLOOKUP(CONCATENATE($F22,"_",AX$4),Oficinas_2,MATCH(AX$3,Oficinas!$F$26:$O$26,0),0)),"",VLOOKUP(CONCATENATE($F22,"_",AX$4),Oficinas_2,MATCH(AX$3,Oficinas!$F$26:$O$26,0),0)),"")</f>
        <v/>
      </c>
      <c r="AY22" t="str">
        <f>+IFERROR(IF(ISBLANK(VLOOKUP(CONCATENATE($F22,"_",AY$4),Oficinas_2,MATCH(AY$3,Oficinas!$F$26:$O$26,0),0)),"",VLOOKUP(CONCATENATE($F22,"_",AY$4),Oficinas_2,MATCH(AY$3,Oficinas!$F$26:$O$26,0),0)),"")</f>
        <v/>
      </c>
      <c r="AZ22" t="str">
        <f>+IFERROR(IF(ISBLANK(VLOOKUP(CONCATENATE($F22,"_",AZ$4),Oficinas_2,MATCH(AZ$3,Oficinas!$F$26:$O$26,0),0)),"",VLOOKUP(CONCATENATE($F22,"_",AZ$4),Oficinas_2,MATCH(AZ$3,Oficinas!$F$26:$O$26,0),0)),"")</f>
        <v/>
      </c>
      <c r="BA22" t="str">
        <f>+IFERROR(IF(ISBLANK(VLOOKUP(CONCATENATE($F22,"_",BA$4),Oficinas_2,MATCH(BA$3,Oficinas!$F$26:$O$26,0),0)),"",VLOOKUP(CONCATENATE($F22,"_",BA$4),Oficinas_2,MATCH(BA$3,Oficinas!$F$26:$O$26,0),0)),"")</f>
        <v/>
      </c>
      <c r="BB22" t="str">
        <f>+IFERROR(IF(ISBLANK(VLOOKUP(CONCATENATE($F22,"_",BB$4),Oficinas_2,MATCH(BB$3,Oficinas!$F$26:$O$26,0),0)),"",VLOOKUP(CONCATENATE($F22,"_",BB$4),Oficinas_2,MATCH(BB$3,Oficinas!$F$26:$O$26,0),0)),"")</f>
        <v/>
      </c>
      <c r="BC22">
        <f t="shared" si="10"/>
        <v>0</v>
      </c>
      <c r="BD22">
        <f t="shared" si="10"/>
        <v>0</v>
      </c>
      <c r="BE22" s="129" t="str">
        <f>+IFERROR(IF(ISBLANK(VLOOKUP(CONCATENATE($F22,"_",BE$4),P1125_4,MATCH(BE$3,PAAC!$E$19:$M$19,0),0)),"",VLOOKUP(CONCATENATE($F22,"_",BE$4),P1125_4,MATCH(BE$3,PAAC!$E$19:$M$19,0),0)),"")</f>
        <v/>
      </c>
      <c r="BF22" s="129" t="str">
        <f>+IFERROR(IF(ISBLANK(VLOOKUP(CONCATENATE($F22,"_",BF$4),P1125_4,MATCH(BF$3,PAAC!$E$19:$M$19,0),0)),"",VLOOKUP(CONCATENATE($F22,"_",BF$4),P1125_4,MATCH(BF$3,PAAC!$E$19:$M$19,0),0)),"")</f>
        <v/>
      </c>
      <c r="BG22" s="129" t="str">
        <f>+IFERROR(IF(ISBLANK(VLOOKUP(CONCATENATE($F22,"_",BG$4),P1125_4,MATCH(BG$3,PAAC!$E$19:$M$19,0),0)),"",VLOOKUP(CONCATENATE($F22,"_",BG$4),P1125_4,MATCH(BG$3,PAAC!$E$19:$M$19,0),0)),"")</f>
        <v/>
      </c>
      <c r="BH22" s="129" t="str">
        <f>+IFERROR(IF(ISBLANK(VLOOKUP(CONCATENATE($F22,"_",BH$4),P1125_4,MATCH(BH$3,PAAC!$E$19:$M$19,0),0)),"",VLOOKUP(CONCATENATE($F22,"_",BH$4),P1125_4,MATCH(BH$3,PAAC!$E$19:$M$19,0),0)),"")</f>
        <v/>
      </c>
      <c r="BI22" s="129" t="str">
        <f>+IFERROR(IF(ISBLANK(VLOOKUP(CONCATENATE($F22,"_",BI$4),P1125_4,MATCH(BI$3,PAAC!$E$19:$M$19,0),0)),"",VLOOKUP(CONCATENATE($F22,"_",BI$4),P1125_4,MATCH(BI$3,PAAC!$E$19:$M$19,0),0)),"")</f>
        <v/>
      </c>
      <c r="BJ22" s="129" t="str">
        <f>+IFERROR(IF(ISBLANK(VLOOKUP(CONCATENATE($F22,"_",BJ$4),P1125_4,MATCH(BJ$3,PAAC!$E$19:$M$19,0),0)),"",VLOOKUP(CONCATENATE($F22,"_",BJ$4),P1125_4,MATCH(BJ$3,PAAC!$E$19:$M$19,0),0)),"")</f>
        <v/>
      </c>
      <c r="BK22" s="129" t="str">
        <f>+IFERROR(IF(ISBLANK(VLOOKUP(CONCATENATE($F22,"_",BK$4),P1125_4,MATCH(BK$3,PAAC!$E$19:$M$19,0),0)),"",VLOOKUP(CONCATENATE($F22,"_",BK$4),P1125_4,MATCH(BK$3,PAAC!$E$19:$M$19,0),0)),"")</f>
        <v/>
      </c>
      <c r="BL22" s="129" t="str">
        <f>+IFERROR(IF(ISBLANK(VLOOKUP(CONCATENATE($F22,"_",BL$4),P1125_4,MATCH(BL$3,PAAC!$E$19:$M$19,0),0)),"",VLOOKUP(CONCATENATE($F22,"_",BL$4),P1125_4,MATCH(BL$3,PAAC!$E$19:$M$19,0),0)),"")</f>
        <v/>
      </c>
      <c r="BM22" s="129" t="str">
        <f>+IFERROR(IF(ISBLANK(VLOOKUP(CONCATENATE($F22,"_",BM$4),P1125_4,MATCH(BM$3,PAAC!$E$19:$M$19,0),0)),"",VLOOKUP(CONCATENATE($F22,"_",BM$4),P1125_4,MATCH(BM$3,PAAC!$E$19:$M$19,0),0)),"")</f>
        <v/>
      </c>
      <c r="BN22" s="129" t="str">
        <f>+IFERROR(IF(ISBLANK(VLOOKUP(CONCATENATE($F22,"_",BN$4),P1125_4,MATCH(BN$3,PAAC!$E$19:$M$19,0),0)),"",VLOOKUP(CONCATENATE($F22,"_",BN$4),P1125_4,MATCH(BN$3,PAAC!$E$19:$M$19,0),0)),"")</f>
        <v/>
      </c>
      <c r="BO22" s="129" t="str">
        <f>+IFERROR(IF(ISBLANK(VLOOKUP(CONCATENATE($F22,"_",BO$4),P1125_4,MATCH(BO$3,PAAC!$E$19:$M$19,0),0)),"",VLOOKUP(CONCATENATE($F22,"_",BO$4),P1125_4,MATCH(BO$3,PAAC!$E$19:$M$19,0),0)),"")</f>
        <v/>
      </c>
      <c r="BP22" s="129" t="str">
        <f>+IFERROR(IF(ISBLANK(VLOOKUP(CONCATENATE($F22,"_",BP$4),P1125_4,MATCH(BP$3,PAAC!$E$19:$M$19,0),0)),"",VLOOKUP(CONCATENATE($F22,"_",BP$4),P1125_4,MATCH(BP$3,PAAC!$E$19:$M$19,0),0)),"")</f>
        <v/>
      </c>
      <c r="BQ22" s="129" t="str">
        <f>+IFERROR(IF(ISBLANK(VLOOKUP(CONCATENATE($F22,"_",BQ$4),P1125_4,MATCH(BQ$3,PAAC!$E$19:$M$19,0),0)),"",VLOOKUP(CONCATENATE($F22,"_",BQ$4),P1125_4,MATCH(BQ$3,PAAC!$E$19:$M$19,0),0)),"")</f>
        <v/>
      </c>
      <c r="BR22" s="129" t="str">
        <f>+IFERROR(IF(ISBLANK(VLOOKUP(CONCATENATE($F22,"_",BR$4),P1125_4,MATCH(BR$3,PAAC!$E$19:$M$19,0),0)),"",VLOOKUP(CONCATENATE($F22,"_",BR$4),P1125_4,MATCH(BR$3,PAAC!$E$19:$M$19,0),0)),"")</f>
        <v/>
      </c>
      <c r="BS22" s="129" t="str">
        <f>+IFERROR(IF(ISBLANK(VLOOKUP(CONCATENATE($F22,"_",BS$4),P1125_4,MATCH(BS$3,PAAC!$E$19:$M$19,0),0)),"",VLOOKUP(CONCATENATE($F22,"_",BS$4),P1125_4,MATCH(BS$3,PAAC!$E$19:$M$19,0),0)),"")</f>
        <v/>
      </c>
      <c r="BT22" s="129" t="str">
        <f>+IFERROR(IF(ISBLANK(VLOOKUP(CONCATENATE($F22,"_",BT$4),P1125_4,MATCH(BT$3,PAAC!$E$19:$M$19,0),0)),"",VLOOKUP(CONCATENATE($F22,"_",BT$4),P1125_4,MATCH(BT$3,PAAC!$E$19:$M$19,0),0)),"")</f>
        <v/>
      </c>
      <c r="BU22" s="129" t="str">
        <f>+IFERROR(IF(ISBLANK(VLOOKUP(CONCATENATE($F22,"_",BU$4),P1125_4,MATCH(BU$3,PAAC!$E$19:$M$19,0),0)),"",VLOOKUP(CONCATENATE($F22,"_",BU$4),P1125_4,MATCH(BU$3,PAAC!$E$19:$M$19,0),0)),"")</f>
        <v/>
      </c>
      <c r="BV22" s="129" t="str">
        <f>+IFERROR(IF(ISBLANK(VLOOKUP(CONCATENATE($F22,"_",BV$4),P1125_4,MATCH(BV$3,PAAC!$E$19:$M$19,0),0)),"",VLOOKUP(CONCATENATE($F22,"_",BV$4),P1125_4,MATCH(BV$3,PAAC!$E$19:$M$19,0),0)),"")</f>
        <v/>
      </c>
      <c r="BW22" s="129" t="str">
        <f>+IFERROR(IF(ISBLANK(VLOOKUP(CONCATENATE($F22,"_",BW$4),P1125_4,MATCH(BW$3,PAAC!$E$19:$M$19,0),0)),"",VLOOKUP(CONCATENATE($F22,"_",BW$4),P1125_4,MATCH(BW$3,PAAC!$E$19:$M$19,0),0)),"")</f>
        <v/>
      </c>
      <c r="BX22" s="129" t="str">
        <f>+IFERROR(IF(ISBLANK(VLOOKUP(CONCATENATE($F22,"_",BX$4),P1125_4,MATCH(BX$3,PAAC!$E$19:$M$19,0),0)),"",VLOOKUP(CONCATENATE($F22,"_",BX$4),P1125_4,MATCH(BX$3,PAAC!$E$19:$M$19,0),0)),"")</f>
        <v/>
      </c>
      <c r="BY22" s="129" t="str">
        <f>+IFERROR(IF(ISBLANK(VLOOKUP(CONCATENATE($F22,"_",BY$4),P1125_4,MATCH(BY$3,PAAC!$E$19:$M$19,0),0)),"",VLOOKUP(CONCATENATE($F22,"_",BY$4),P1125_4,MATCH(BY$3,PAAC!$E$19:$M$19,0),0)),"")</f>
        <v/>
      </c>
      <c r="BZ22" s="129" t="str">
        <f>+IFERROR(IF(ISBLANK(VLOOKUP(CONCATENATE($F22,"_",BZ$4),P1125_4,MATCH(BZ$3,PAAC!$E$19:$M$19,0),0)),"",VLOOKUP(CONCATENATE($F22,"_",BZ$4),P1125_4,MATCH(BZ$3,PAAC!$E$19:$M$19,0),0)),"")</f>
        <v/>
      </c>
      <c r="CA22" s="129" t="str">
        <f>+IFERROR(IF(ISBLANK(VLOOKUP(CONCATENATE($F22,"_",CA$4),P1125_4,MATCH(CA$3,PAAC!$E$19:$M$19,0),0)),"",VLOOKUP(CONCATENATE($F22,"_",CA$4),P1125_4,MATCH(CA$3,PAAC!$E$19:$M$19,0),0)),"")</f>
        <v/>
      </c>
      <c r="CB22" s="129" t="str">
        <f>+IFERROR(IF(ISBLANK(VLOOKUP(CONCATENATE($F22,"_",CB$4),P1125_4,MATCH(CB$3,PAAC!$E$19:$M$19,0),0)),"",VLOOKUP(CONCATENATE($F22,"_",CB$4),P1125_4,MATCH(CB$3,PAAC!$E$19:$M$19,0),0)),"")</f>
        <v/>
      </c>
      <c r="CC22" s="129" t="str">
        <f>+IFERROR(IF(ISBLANK(VLOOKUP(CONCATENATE($F22,"_",CC$4),P1125_4,MATCH(CC$3,PAAC!$E$19:$M$19,0),0)),"",VLOOKUP(CONCATENATE($F22,"_",CC$4),P1125_4,MATCH(CC$3,PAAC!$E$19:$M$19,0),0)),"")</f>
        <v/>
      </c>
      <c r="CD22" s="129" t="str">
        <f t="shared" si="11"/>
        <v/>
      </c>
      <c r="CE22" s="129" t="str">
        <f t="shared" si="3"/>
        <v/>
      </c>
      <c r="CF22" s="129" t="str">
        <f t="shared" si="4"/>
        <v/>
      </c>
      <c r="CG22" s="129" t="str">
        <f t="shared" si="5"/>
        <v/>
      </c>
      <c r="CH22" s="129" t="str">
        <f t="shared" si="6"/>
        <v/>
      </c>
      <c r="CI22">
        <f t="shared" si="18"/>
        <v>0</v>
      </c>
      <c r="CJ22">
        <f t="shared" si="18"/>
        <v>0</v>
      </c>
      <c r="CK22">
        <f t="shared" si="18"/>
        <v>0</v>
      </c>
      <c r="CL22">
        <f t="shared" si="18"/>
        <v>0</v>
      </c>
      <c r="CM22">
        <f t="shared" si="18"/>
        <v>0</v>
      </c>
      <c r="CN22">
        <f t="shared" si="18"/>
        <v>0</v>
      </c>
      <c r="CO22">
        <f t="shared" si="18"/>
        <v>0</v>
      </c>
      <c r="CP22">
        <f t="shared" si="18"/>
        <v>0</v>
      </c>
      <c r="CQ22">
        <f t="shared" si="18"/>
        <v>0</v>
      </c>
      <c r="CR22">
        <f t="shared" si="18"/>
        <v>0</v>
      </c>
      <c r="CS22">
        <f t="shared" si="19"/>
        <v>0</v>
      </c>
      <c r="CT22">
        <f t="shared" si="19"/>
        <v>0</v>
      </c>
      <c r="CU22">
        <f t="shared" si="19"/>
        <v>0</v>
      </c>
      <c r="CV22">
        <f t="shared" si="19"/>
        <v>0</v>
      </c>
      <c r="CW22">
        <f t="shared" si="19"/>
        <v>0</v>
      </c>
      <c r="CX22">
        <f t="shared" si="19"/>
        <v>0</v>
      </c>
      <c r="CY22">
        <f t="shared" si="19"/>
        <v>0</v>
      </c>
      <c r="CZ22">
        <f t="shared" si="19"/>
        <v>0</v>
      </c>
      <c r="DA22">
        <f t="shared" si="19"/>
        <v>0</v>
      </c>
      <c r="DB22">
        <f t="shared" si="19"/>
        <v>0</v>
      </c>
      <c r="DC22">
        <f t="shared" si="20"/>
        <v>0</v>
      </c>
      <c r="DD22">
        <f t="shared" si="20"/>
        <v>0</v>
      </c>
      <c r="DE22" t="e">
        <f t="shared" si="20"/>
        <v>#REF!</v>
      </c>
      <c r="DF22" t="e">
        <f t="shared" si="20"/>
        <v>#REF!</v>
      </c>
      <c r="DG22" t="e">
        <f t="shared" si="20"/>
        <v>#REF!</v>
      </c>
      <c r="DH22" t="e">
        <f t="shared" si="20"/>
        <v>#REF!</v>
      </c>
      <c r="DI22" t="e">
        <f t="shared" si="20"/>
        <v>#REF!</v>
      </c>
      <c r="DJ22" t="e">
        <f t="shared" si="20"/>
        <v>#REF!</v>
      </c>
      <c r="DK22" t="e">
        <f t="shared" si="20"/>
        <v>#REF!</v>
      </c>
      <c r="DL22" t="e">
        <f t="shared" si="20"/>
        <v>#REF!</v>
      </c>
      <c r="DM22" t="e">
        <f t="shared" si="21"/>
        <v>#REF!</v>
      </c>
      <c r="DN22" t="e">
        <f t="shared" si="21"/>
        <v>#REF!</v>
      </c>
      <c r="DO22" t="e">
        <f t="shared" si="21"/>
        <v>#REF!</v>
      </c>
      <c r="DP22" t="e">
        <f t="shared" si="21"/>
        <v>#REF!</v>
      </c>
      <c r="DQ22" t="e">
        <f t="shared" si="21"/>
        <v>#REF!</v>
      </c>
      <c r="DR22" t="e">
        <f t="shared" si="21"/>
        <v>#REF!</v>
      </c>
      <c r="DS22" t="e">
        <f t="shared" si="21"/>
        <v>#REF!</v>
      </c>
      <c r="DT22" t="e">
        <f t="shared" si="21"/>
        <v>#REF!</v>
      </c>
      <c r="DU22" t="e">
        <f t="shared" si="21"/>
        <v>#REF!</v>
      </c>
      <c r="DV22" t="e">
        <f t="shared" si="21"/>
        <v>#REF!</v>
      </c>
      <c r="DW22" t="e">
        <f t="shared" si="21"/>
        <v>#REF!</v>
      </c>
      <c r="DX22" t="e">
        <f t="shared" si="21"/>
        <v>#REF!</v>
      </c>
    </row>
    <row r="23" spans="1:128" x14ac:dyDescent="0.3">
      <c r="A23" s="423">
        <f t="shared" si="16"/>
        <v>138</v>
      </c>
      <c r="B23" t="str">
        <f t="shared" si="17"/>
        <v>1_Oficina de Tecnologías de la Información y las Comunicaciones</v>
      </c>
      <c r="C23">
        <f t="shared" si="8"/>
        <v>1</v>
      </c>
      <c r="D23" t="str">
        <f t="shared" si="0"/>
        <v>Oficina de Tecnologías de la Información y las Comunicaciones</v>
      </c>
      <c r="E23" t="str">
        <f t="shared" si="1"/>
        <v>oti</v>
      </c>
      <c r="F23" s="208">
        <f>Oficinas!D21</f>
        <v>138</v>
      </c>
      <c r="G23" t="str">
        <f t="shared" si="2"/>
        <v>Constante</v>
      </c>
      <c r="H23" t="str">
        <f t="shared" si="2"/>
        <v>Porcentaje</v>
      </c>
      <c r="I23">
        <f t="shared" si="2"/>
        <v>0</v>
      </c>
      <c r="J23">
        <f t="shared" si="2"/>
        <v>0.96</v>
      </c>
      <c r="K23" t="str">
        <f>+IFERROR(VLOOKUP($F23,Oficinas_1,MATCH(K$5,Oficinas!$D$9:$V$9,0),0),"")</f>
        <v>Constante</v>
      </c>
      <c r="L23" t="str">
        <f>+IFERROR(VLOOKUP($F23,Oficinas_1,MATCH(L$5,Oficinas!$D$9:$V$9,0),0),"")</f>
        <v/>
      </c>
      <c r="M23">
        <f t="shared" si="9"/>
        <v>288</v>
      </c>
      <c r="N23">
        <f>+IFERROR(VLOOKUP($F23,Oficinas_1,MATCH(N$5,Oficinas!$D$9:$V$9,0),0),"")</f>
        <v>96</v>
      </c>
      <c r="O23">
        <f>+IFERROR(VLOOKUP($F23,Oficinas_1,MATCH(O$5,Oficinas!$D$9:$V$9,0),0),"")</f>
        <v>96</v>
      </c>
      <c r="P23">
        <f>+IFERROR(VLOOKUP($F23,Oficinas_1,MATCH(P$5,Oficinas!$D$9:$V$9,0),0),"")</f>
        <v>96</v>
      </c>
      <c r="Q23">
        <f>+IFERROR(VLOOKUP($F23,Oficinas_1,MATCH(Q$5,Oficinas!$D$9:$V$9,0),0),"")</f>
        <v>96</v>
      </c>
      <c r="R23">
        <f>+IFERROR(VLOOKUP($F23,Oficinas_1,MATCH(R$5,Oficinas!$D$9:$V$9,0),0),"")</f>
        <v>96</v>
      </c>
      <c r="S23">
        <f>+IFERROR(VLOOKUP($F23,Oficinas_1,MATCH(S$5,Oficinas!$D$9:$V$9,0),0),"")</f>
        <v>96</v>
      </c>
      <c r="T23">
        <f>+IFERROR(VLOOKUP($F23,Oficinas_1,MATCH(T$5,Oficinas!$D$9:$V$9,0),0),"")</f>
        <v>96</v>
      </c>
      <c r="U23" t="str">
        <f>+IFERROR(VLOOKUP($F23,Oficinas_1,MATCH(U$5,Oficinas!$D$9:$V$9,0),0),"")</f>
        <v>Mide  la disponibilidad de Sistemas de Información y Sitios web en producción de la entidad, para que los usuarios los puedan operar y/o consultar, mediante el monitoreo de Bases de datos, Sistemas de información y de la Infraestructura Tecnológica.</v>
      </c>
      <c r="V23" t="str">
        <f>+IFERROR(VLOOKUP($F23,Oficinas_1,MATCH(V$5,Oficinas!$D$9:$V$9,0),0),"")</f>
        <v>• Realizar Monitoreo a: 
- Base de Datos
- Sistemas de Información
- Infraestructura Tecnológica</v>
      </c>
      <c r="W23" t="str">
        <f>+IFERROR(VLOOKUP($F23,Oficinas_1,MATCH(W$5,Oficinas!$D$9:$V$9,0),0),"")</f>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
      <c r="X23" t="str">
        <f>+IFERROR(VLOOKUP($F23,Oficinas_1,MATCH(X$5,Oficinas!$D$9:$V$9,0),0),"")</f>
        <v>Reporte Informe de Sistema Adplatec
Correos enviados desde el Aplicativo Nagios
Consulta de Aplicativo GLPI sobre categoria Sistemas de Información</v>
      </c>
      <c r="Y23">
        <f>+IFERROR(IF(ISBLANK(VLOOKUP(CONCATENATE($F23,"_",Y$4),Oficinas_2,MATCH(Y$3,Oficinas!$F$26:$O$26,0),0)),"",VLOOKUP(CONCATENATE($F23,"_",Y$4),Oficinas_2,MATCH(Y$3,Oficinas!$F$26:$O$26,0),0)),"")</f>
        <v>97</v>
      </c>
      <c r="Z23" t="str">
        <f>+IFERROR(IF(ISBLANK(VLOOKUP(CONCATENATE($F23,"_",Z$4),Oficinas_2,MATCH(Z$3,Oficinas!$F$26:$O$26,0),0)),"",VLOOKUP(CONCATENATE($F23,"_",Z$4),Oficinas_2,MATCH(Z$3,Oficinas!$F$26:$O$26,0),0)),"")</f>
        <v/>
      </c>
      <c r="AA23" t="str">
        <f>+IFERROR(IF(ISBLANK(VLOOKUP(CONCATENATE($F23,"_",AA$4),Oficinas_2,MATCH(AA$3,Oficinas!$F$26:$O$26,0),0)),"",VLOOKUP(CONCATENATE($F23,"_",AA$4),Oficinas_2,MATCH(AA$3,Oficinas!$F$26:$O$26,0),0)),"")</f>
        <v>En Enero de 2020 se obtuvo una disponibilidad correspondientes al 97% de sistemas y portales o sitios web. El total de horas de No disponibilidad de los sistemas durante el 2020-01-01 y 2020-01-31 fue de 217.33 horas, las ventanas de mantenimientos realizados y registrados en este periodo fueron un total de 2.00</v>
      </c>
      <c r="AB23" t="str">
        <f>+IFERROR(IF(ISBLANK(VLOOKUP(CONCATENATE($F23,"_",AB$4),Oficinas_2,MATCH(AB$3,Oficinas!$F$26:$O$26,0),0)),"",VLOOKUP(CONCATENATE($F23,"_",AB$4),Oficinas_2,MATCH(AB$3,Oficinas!$F$26:$O$26,0),0)),"")</f>
        <v>N/A</v>
      </c>
      <c r="AC23" t="str">
        <f>+IFERROR(IF(ISBLANK(VLOOKUP(CONCATENATE($F23,"_",AC$4),Oficinas_2,MATCH(AC$3,Oficinas!$F$26:$O$26,0),0)),"",VLOOKUP(CONCATENATE($F23,"_",AC$4),Oficinas_2,MATCH(AC$3,Oficinas!$F$26:$O$26,0),0)),"")</f>
        <v xml:space="preserve">El monitoreo de los componentes de la infraestructura tecnologica permitio que los sistemas y sitios web se encontraran disponibles en el porcentaje establecido por la OTIC para usuarios internos y externos.
  La disponibilidad de sistemas misionales 57.08 % del peso total que es 60 % .
  La disponibilidad de sistemas administrativos 24.99 % del peso total que es 25 %
 La disponibilidad de sistemas portales 15.00 % del peso total que es 15 % </v>
      </c>
      <c r="AD23">
        <f>+IFERROR(IF(ISBLANK(VLOOKUP(CONCATENATE($F23,"_",AD$4),Oficinas_2,MATCH(AD$3,Oficinas!$F$26:$O$26,0),0)),"",VLOOKUP(CONCATENATE($F23,"_",AD$4),Oficinas_2,MATCH(AD$3,Oficinas!$F$26:$O$26,0),0)),"")</f>
        <v>99.8</v>
      </c>
      <c r="AE23" t="str">
        <f>+IFERROR(IF(ISBLANK(VLOOKUP(CONCATENATE($F23,"_",AE$4),Oficinas_2,MATCH(AE$3,Oficinas!$F$26:$O$26,0),0)),"",VLOOKUP(CONCATENATE($F23,"_",AE$4),Oficinas_2,MATCH(AE$3,Oficinas!$F$26:$O$26,0),0)),"")</f>
        <v/>
      </c>
      <c r="AF23" t="str">
        <f>+IFERROR(IF(ISBLANK(VLOOKUP(CONCATENATE($F23,"_",AF$4),Oficinas_2,MATCH(AF$3,Oficinas!$F$26:$O$26,0),0)),"",VLOOKUP(CONCATENATE($F23,"_",AF$4),Oficinas_2,MATCH(AF$3,Oficinas!$F$26:$O$26,0),0)),"")</f>
        <v>En Febrero de 2020 se obtuvo una disponibilidad correspondiente al 99.8% de sistemas y portales o sitios web. El total de horas de No disponibilidad de los sistemas durante el 2020-02-01 y 2020-02-29 fue de 2.50 horas.  
 Para el Periodo 2020-02-01 y 2020-02-29 , las ventanas de mantenimientos realizados y registrados en este periodo fueron un total de 1.00</v>
      </c>
      <c r="AG23" t="str">
        <f>+IFERROR(IF(ISBLANK(VLOOKUP(CONCATENATE($F23,"_",AG$4),Oficinas_2,MATCH(AG$3,Oficinas!$F$26:$O$26,0),0)),"",VLOOKUP(CONCATENATE($F23,"_",AG$4),Oficinas_2,MATCH(AG$3,Oficinas!$F$26:$O$26,0),0)),"")</f>
        <v>N/A</v>
      </c>
      <c r="AH23" t="str">
        <f>+IFERROR(IF(ISBLANK(VLOOKUP(CONCATENATE($F23,"_",AH$4),Oficinas_2,MATCH(AH$3,Oficinas!$F$26:$O$26,0),0)),"",VLOOKUP(CONCATENATE($F23,"_",AH$4),Oficinas_2,MATCH(AH$3,Oficinas!$F$26:$O$26,0),0)),"")</f>
        <v xml:space="preserve">El monitoreo de los componentes de la infraestructura tecnologica permitio que los sistemas y sitios web se encontraran disponibles en el porcentaje establecido por la OTIC para usuarios internos y externos.
  La disponibilidad de sistemas misionales 59.78 % de un 60 %
  La disponibilidad de sistemas administrativos  25.00 % de un 25 %Administrativo
 La disponibilidad de sistemas portales 15.00 % de un 15 %Portales  </v>
      </c>
      <c r="AI23">
        <f>+IFERROR(IF(ISBLANK(VLOOKUP(CONCATENATE($F23,"_",AI$4),Oficinas_2,MATCH(AI$3,Oficinas!$F$26:$O$26,0),0)),"",VLOOKUP(CONCATENATE($F23,"_",AI$4),Oficinas_2,MATCH(AI$3,Oficinas!$F$26:$O$26,0),0)),"")</f>
        <v>100</v>
      </c>
      <c r="AJ23" t="str">
        <f>+IFERROR(IF(ISBLANK(VLOOKUP(CONCATENATE($F23,"_",AJ$4),Oficinas_2,MATCH(AJ$3,Oficinas!$F$26:$O$26,0),0)),"",VLOOKUP(CONCATENATE($F23,"_",AJ$4),Oficinas_2,MATCH(AJ$3,Oficinas!$F$26:$O$26,0),0)),"")</f>
        <v/>
      </c>
      <c r="AK23" t="str">
        <f>+IFERROR(IF(ISBLANK(VLOOKUP(CONCATENATE($F23,"_",AK$4),Oficinas_2,MATCH(AK$3,Oficinas!$F$26:$O$26,0),0)),"",VLOOKUP(CONCATENATE($F23,"_",AK$4),Oficinas_2,MATCH(AK$3,Oficinas!$F$26:$O$26,0),0)),"")</f>
        <v>En Marzo de 2020 se obtuvo una disponibilidad correspondiente al 100% de sistemas y portales o sitios web. El total de horas de No disponibilidad de los sistemas durante el 2020-03-01 y 2020-03-31 fue de 0.50 horas.  
 Para el Periodo 2020-03-01 y 2020-03-31 , las ventanas de mantenimientos realizados y registrados en este periodo fueron un total de 4.00</v>
      </c>
      <c r="AL23" t="str">
        <f>+IFERROR(IF(ISBLANK(VLOOKUP(CONCATENATE($F23,"_",AL$4),Oficinas_2,MATCH(AL$3,Oficinas!$F$26:$O$26,0),0)),"",VLOOKUP(CONCATENATE($F23,"_",AL$4),Oficinas_2,MATCH(AL$3,Oficinas!$F$26:$O$26,0),0)),"")</f>
        <v>N/A</v>
      </c>
      <c r="AM23" t="str">
        <f>+IFERROR(IF(ISBLANK(VLOOKUP(CONCATENATE($F23,"_",AM$4),Oficinas_2,MATCH(AM$3,Oficinas!$F$26:$O$26,0),0)),"",VLOOKUP(CONCATENATE($F23,"_",AM$4),Oficinas_2,MATCH(AM$3,Oficinas!$F$26:$O$26,0),0)),"")</f>
        <v xml:space="preserve">El monitoreo de los componentes de la infraestructura tecnologica permitio que los sistemas y sitios web se encontraran disponibles en el porcentaje establecido por la OTIC para usuarios internos y externos.
  La disponibilidad de sistemas misionales 60 % de un 60 %
  La disponibilidad de sistemas administrativos  24.99 % de un 25 %
 La disponibilidad de sistemas portales 15.00 % de un 15 %Portales  </v>
      </c>
      <c r="AN23">
        <f>+IFERROR(IF(ISBLANK(VLOOKUP(CONCATENATE($F23,"_",AN$4),Oficinas_2,MATCH(AN$3,Oficinas!$F$26:$O$26,0),0)),"",VLOOKUP(CONCATENATE($F23,"_",AN$4),Oficinas_2,MATCH(AN$3,Oficinas!$F$26:$O$26,0),0)),"")</f>
        <v>99.9</v>
      </c>
      <c r="AO23" t="str">
        <f>+IFERROR(IF(ISBLANK(VLOOKUP(CONCATENATE($F23,"_",AO$4),Oficinas_2,MATCH(AO$3,Oficinas!$F$26:$O$26,0),0)),"",VLOOKUP(CONCATENATE($F23,"_",AO$4),Oficinas_2,MATCH(AO$3,Oficinas!$F$26:$O$26,0),0)),"")</f>
        <v/>
      </c>
      <c r="AP23" t="str">
        <f>+IFERROR(IF(ISBLANK(VLOOKUP(CONCATENATE($F23,"_",AP$4),Oficinas_2,MATCH(AP$3,Oficinas!$F$26:$O$26,0),0)),"",VLOOKUP(CONCATENATE($F23,"_",AP$4),Oficinas_2,MATCH(AP$3,Oficinas!$F$26:$O$26,0),0)),"")</f>
        <v xml:space="preserve">En Abril de 2020 se obtuvo una disponibilidad correspondiente al 99.9% de sistemas y portales o sitios web. El total de horas de No disponibilidad de los sistemas durante el 2020-04-01 y 2020-04-30 fue de 3.92 horas.  Para el Periodo 2020-04-01 y 2020-04-30 , las ventanas de mantenimientos realizados y registrados en este periodo fueron un total de 5.00 </v>
      </c>
      <c r="AQ23" t="str">
        <f>+IFERROR(IF(ISBLANK(VLOOKUP(CONCATENATE($F23,"_",AQ$4),Oficinas_2,MATCH(AQ$3,Oficinas!$F$26:$O$26,0),0)),"",VLOOKUP(CONCATENATE($F23,"_",AQ$4),Oficinas_2,MATCH(AQ$3,Oficinas!$F$26:$O$26,0),0)),"")</f>
        <v>N/A</v>
      </c>
      <c r="AR23" t="str">
        <f>+IFERROR(IF(ISBLANK(VLOOKUP(CONCATENATE($F23,"_",AR$4),Oficinas_2,MATCH(AR$3,Oficinas!$F$26:$O$26,0),0)),"",VLOOKUP(CONCATENATE($F23,"_",AR$4),Oficinas_2,MATCH(AR$3,Oficinas!$F$26:$O$26,0),0)),"")</f>
        <v xml:space="preserve">El monitoreo de los componentes de la infraestructura tecnologica permitio que los sistemas y sitios web se encontraran disponibles en el porcentaje establecido por la OTIC para usuarios internos y externos.
  La disponibilidad de sistemas misionales 59.94 % de un 60 %
  La disponibilidad de sistemas administrativos  24.99 % de un 25 %
 La disponibilidad de sistemas portales 15.00 % de un 15 %Portales  </v>
      </c>
      <c r="AS23">
        <f>+IFERROR(IF(ISBLANK(VLOOKUP(CONCATENATE($F23,"_",AS$4),Oficinas_2,MATCH(AS$3,Oficinas!$F$26:$O$26,0),0)),"",VLOOKUP(CONCATENATE($F23,"_",AS$4),Oficinas_2,MATCH(AS$3,Oficinas!$F$26:$O$26,0),0)),"")</f>
        <v>100</v>
      </c>
      <c r="AT23" t="str">
        <f>+IFERROR(IF(ISBLANK(VLOOKUP(CONCATENATE($F23,"_",AT$4),Oficinas_2,MATCH(AT$3,Oficinas!$F$26:$O$26,0),0)),"",VLOOKUP(CONCATENATE($F23,"_",AT$4),Oficinas_2,MATCH(AT$3,Oficinas!$F$26:$O$26,0),0)),"")</f>
        <v/>
      </c>
      <c r="AU23" t="str">
        <f>+IFERROR(IF(ISBLANK(VLOOKUP(CONCATENATE($F23,"_",AU$4),Oficinas_2,MATCH(AU$3,Oficinas!$F$26:$O$26,0),0)),"",VLOOKUP(CONCATENATE($F23,"_",AU$4),Oficinas_2,MATCH(AU$3,Oficinas!$F$26:$O$26,0),0)),"")</f>
        <v>En Mayo de 2020 se obtuvo una disponibilidad correspondiente al 100% de sistemas y portales o sitios web. El total de horas de No disponibilidad de los sistemas durante el 2020-05-01 y 2020-05-31 fue de 12.58 horas. Las ventanas de mantenimientos realizados y registrados en este periodo fueron un total de 7.00</v>
      </c>
      <c r="AV23" t="str">
        <f>+IFERROR(IF(ISBLANK(VLOOKUP(CONCATENATE($F23,"_",AV$4),Oficinas_2,MATCH(AV$3,Oficinas!$F$26:$O$26,0),0)),"",VLOOKUP(CONCATENATE($F23,"_",AV$4),Oficinas_2,MATCH(AV$3,Oficinas!$F$26:$O$26,0),0)),"")</f>
        <v>N/A</v>
      </c>
      <c r="AW23" t="str">
        <f>+IFERROR(IF(ISBLANK(VLOOKUP(CONCATENATE($F23,"_",AW$4),Oficinas_2,MATCH(AW$3,Oficinas!$F$26:$O$26,0),0)),"",VLOOKUP(CONCATENATE($F23,"_",AW$4),Oficinas_2,MATCH(AW$3,Oficinas!$F$26:$O$26,0),0)),"")</f>
        <v xml:space="preserve">El monitoreo de los componentes de la infraestructura tecnológica permitió que los sistemas y sitios web se encontraran disponibles en el porcentaje establecido por la OTIC para usuarios internos y externos.
  La disponibilidad de sistemas misionales 59.96 % de un 60 %
  La disponibilidad de sistemas administrativos  24.99 % de un 25 %
 La disponibilidad de sistemas portales 15.00 % de un 15 %Portales  </v>
      </c>
      <c r="AX23">
        <f>+IFERROR(IF(ISBLANK(VLOOKUP(CONCATENATE($F23,"_",AX$4),Oficinas_2,MATCH(AX$3,Oficinas!$F$26:$O$26,0),0)),"",VLOOKUP(CONCATENATE($F23,"_",AX$4),Oficinas_2,MATCH(AX$3,Oficinas!$F$26:$O$26,0),0)),"")</f>
        <v>99.9</v>
      </c>
      <c r="AY23" t="str">
        <f>+IFERROR(IF(ISBLANK(VLOOKUP(CONCATENATE($F23,"_",AY$4),Oficinas_2,MATCH(AY$3,Oficinas!$F$26:$O$26,0),0)),"",VLOOKUP(CONCATENATE($F23,"_",AY$4),Oficinas_2,MATCH(AY$3,Oficinas!$F$26:$O$26,0),0)),"")</f>
        <v/>
      </c>
      <c r="AZ23" t="str">
        <f>+IFERROR(IF(ISBLANK(VLOOKUP(CONCATENATE($F23,"_",AZ$4),Oficinas_2,MATCH(AZ$3,Oficinas!$F$26:$O$26,0),0)),"",VLOOKUP(CONCATENATE($F23,"_",AZ$4),Oficinas_2,MATCH(AZ$3,Oficinas!$F$26:$O$26,0),0)),"")</f>
        <v>En Mayo de 2020 se obtuvo una disponibilidad correspondiente al 99.9% de sistemas y portales o sitios web. El total de horas de No disponibilidad de los sistemas durante el 2020-06-01 y 2020-06-30 fue de 25.23 horas. Las ventanas de mantenimientos realizados y registrados en este periodo fueron un total de 2.00</v>
      </c>
      <c r="BA23" t="str">
        <f>+IFERROR(IF(ISBLANK(VLOOKUP(CONCATENATE($F23,"_",BA$4),Oficinas_2,MATCH(BA$3,Oficinas!$F$26:$O$26,0),0)),"",VLOOKUP(CONCATENATE($F23,"_",BA$4),Oficinas_2,MATCH(BA$3,Oficinas!$F$26:$O$26,0),0)),"")</f>
        <v>N/A</v>
      </c>
      <c r="BB23" t="str">
        <f>+IFERROR(IF(ISBLANK(VLOOKUP(CONCATENATE($F23,"_",BB$4),Oficinas_2,MATCH(BB$3,Oficinas!$F$26:$O$26,0),0)),"",VLOOKUP(CONCATENATE($F23,"_",BB$4),Oficinas_2,MATCH(BB$3,Oficinas!$F$26:$O$26,0),0)),"")</f>
        <v>El monitoreo de los componentes de la infraestructura tecnológica permitió que los sistemas y sitios web se encontraran disponibles en el porcentaje establecido por la OTIC para usuarios internos y externos.
 La disponibilidad de sistemas misionales 59.89 % de un 60 % 
La disponibilidad de sistemas administrativos 24.99 % de un 25 %
La disponibilidad de sistemas portales 15.00 % de un 15 %</v>
      </c>
      <c r="BC23">
        <f t="shared" si="10"/>
        <v>596.6</v>
      </c>
      <c r="BD23">
        <f t="shared" si="10"/>
        <v>0</v>
      </c>
      <c r="BE23" s="129" t="str">
        <f>+IFERROR(IF(ISBLANK(VLOOKUP(CONCATENATE($F23,"_",BE$4),P1125_4,MATCH(BE$3,PAAC!$E$19:$M$19,0),0)),"",VLOOKUP(CONCATENATE($F23,"_",BE$4),P1125_4,MATCH(BE$3,PAAC!$E$19:$M$19,0),0)),"")</f>
        <v/>
      </c>
      <c r="BF23" s="129" t="str">
        <f>+IFERROR(IF(ISBLANK(VLOOKUP(CONCATENATE($F23,"_",BF$4),P1125_4,MATCH(BF$3,PAAC!$E$19:$M$19,0),0)),"",VLOOKUP(CONCATENATE($F23,"_",BF$4),P1125_4,MATCH(BF$3,PAAC!$E$19:$M$19,0),0)),"")</f>
        <v/>
      </c>
      <c r="BG23" s="129" t="str">
        <f>+IFERROR(IF(ISBLANK(VLOOKUP(CONCATENATE($F23,"_",BG$4),P1125_4,MATCH(BG$3,PAAC!$E$19:$M$19,0),0)),"",VLOOKUP(CONCATENATE($F23,"_",BG$4),P1125_4,MATCH(BG$3,PAAC!$E$19:$M$19,0),0)),"")</f>
        <v/>
      </c>
      <c r="BH23" s="129" t="str">
        <f>+IFERROR(IF(ISBLANK(VLOOKUP(CONCATENATE($F23,"_",BH$4),P1125_4,MATCH(BH$3,PAAC!$E$19:$M$19,0),0)),"",VLOOKUP(CONCATENATE($F23,"_",BH$4),P1125_4,MATCH(BH$3,PAAC!$E$19:$M$19,0),0)),"")</f>
        <v/>
      </c>
      <c r="BI23" s="129" t="str">
        <f>+IFERROR(IF(ISBLANK(VLOOKUP(CONCATENATE($F23,"_",BI$4),P1125_4,MATCH(BI$3,PAAC!$E$19:$M$19,0),0)),"",VLOOKUP(CONCATENATE($F23,"_",BI$4),P1125_4,MATCH(BI$3,PAAC!$E$19:$M$19,0),0)),"")</f>
        <v/>
      </c>
      <c r="BJ23" s="129" t="str">
        <f>+IFERROR(IF(ISBLANK(VLOOKUP(CONCATENATE($F23,"_",BJ$4),P1125_4,MATCH(BJ$3,PAAC!$E$19:$M$19,0),0)),"",VLOOKUP(CONCATENATE($F23,"_",BJ$4),P1125_4,MATCH(BJ$3,PAAC!$E$19:$M$19,0),0)),"")</f>
        <v/>
      </c>
      <c r="BK23" s="129" t="str">
        <f>+IFERROR(IF(ISBLANK(VLOOKUP(CONCATENATE($F23,"_",BK$4),P1125_4,MATCH(BK$3,PAAC!$E$19:$M$19,0),0)),"",VLOOKUP(CONCATENATE($F23,"_",BK$4),P1125_4,MATCH(BK$3,PAAC!$E$19:$M$19,0),0)),"")</f>
        <v/>
      </c>
      <c r="BL23" s="129" t="str">
        <f>+IFERROR(IF(ISBLANK(VLOOKUP(CONCATENATE($F23,"_",BL$4),P1125_4,MATCH(BL$3,PAAC!$E$19:$M$19,0),0)),"",VLOOKUP(CONCATENATE($F23,"_",BL$4),P1125_4,MATCH(BL$3,PAAC!$E$19:$M$19,0),0)),"")</f>
        <v/>
      </c>
      <c r="BM23" s="129" t="str">
        <f>+IFERROR(IF(ISBLANK(VLOOKUP(CONCATENATE($F23,"_",BM$4),P1125_4,MATCH(BM$3,PAAC!$E$19:$M$19,0),0)),"",VLOOKUP(CONCATENATE($F23,"_",BM$4),P1125_4,MATCH(BM$3,PAAC!$E$19:$M$19,0),0)),"")</f>
        <v/>
      </c>
      <c r="BN23" s="129" t="str">
        <f>+IFERROR(IF(ISBLANK(VLOOKUP(CONCATENATE($F23,"_",BN$4),P1125_4,MATCH(BN$3,PAAC!$E$19:$M$19,0),0)),"",VLOOKUP(CONCATENATE($F23,"_",BN$4),P1125_4,MATCH(BN$3,PAAC!$E$19:$M$19,0),0)),"")</f>
        <v/>
      </c>
      <c r="BO23" s="129" t="str">
        <f>+IFERROR(IF(ISBLANK(VLOOKUP(CONCATENATE($F23,"_",BO$4),P1125_4,MATCH(BO$3,PAAC!$E$19:$M$19,0),0)),"",VLOOKUP(CONCATENATE($F23,"_",BO$4),P1125_4,MATCH(BO$3,PAAC!$E$19:$M$19,0),0)),"")</f>
        <v/>
      </c>
      <c r="BP23" s="129" t="str">
        <f>+IFERROR(IF(ISBLANK(VLOOKUP(CONCATENATE($F23,"_",BP$4),P1125_4,MATCH(BP$3,PAAC!$E$19:$M$19,0),0)),"",VLOOKUP(CONCATENATE($F23,"_",BP$4),P1125_4,MATCH(BP$3,PAAC!$E$19:$M$19,0),0)),"")</f>
        <v/>
      </c>
      <c r="BQ23" s="129" t="str">
        <f>+IFERROR(IF(ISBLANK(VLOOKUP(CONCATENATE($F23,"_",BQ$4),P1125_4,MATCH(BQ$3,PAAC!$E$19:$M$19,0),0)),"",VLOOKUP(CONCATENATE($F23,"_",BQ$4),P1125_4,MATCH(BQ$3,PAAC!$E$19:$M$19,0),0)),"")</f>
        <v/>
      </c>
      <c r="BR23" s="129" t="str">
        <f>+IFERROR(IF(ISBLANK(VLOOKUP(CONCATENATE($F23,"_",BR$4),P1125_4,MATCH(BR$3,PAAC!$E$19:$M$19,0),0)),"",VLOOKUP(CONCATENATE($F23,"_",BR$4),P1125_4,MATCH(BR$3,PAAC!$E$19:$M$19,0),0)),"")</f>
        <v/>
      </c>
      <c r="BS23" s="129" t="str">
        <f>+IFERROR(IF(ISBLANK(VLOOKUP(CONCATENATE($F23,"_",BS$4),P1125_4,MATCH(BS$3,PAAC!$E$19:$M$19,0),0)),"",VLOOKUP(CONCATENATE($F23,"_",BS$4),P1125_4,MATCH(BS$3,PAAC!$E$19:$M$19,0),0)),"")</f>
        <v/>
      </c>
      <c r="BT23" s="129" t="str">
        <f>+IFERROR(IF(ISBLANK(VLOOKUP(CONCATENATE($F23,"_",BT$4),P1125_4,MATCH(BT$3,PAAC!$E$19:$M$19,0),0)),"",VLOOKUP(CONCATENATE($F23,"_",BT$4),P1125_4,MATCH(BT$3,PAAC!$E$19:$M$19,0),0)),"")</f>
        <v/>
      </c>
      <c r="BU23" s="129" t="str">
        <f>+IFERROR(IF(ISBLANK(VLOOKUP(CONCATENATE($F23,"_",BU$4),P1125_4,MATCH(BU$3,PAAC!$E$19:$M$19,0),0)),"",VLOOKUP(CONCATENATE($F23,"_",BU$4),P1125_4,MATCH(BU$3,PAAC!$E$19:$M$19,0),0)),"")</f>
        <v/>
      </c>
      <c r="BV23" s="129" t="str">
        <f>+IFERROR(IF(ISBLANK(VLOOKUP(CONCATENATE($F23,"_",BV$4),P1125_4,MATCH(BV$3,PAAC!$E$19:$M$19,0),0)),"",VLOOKUP(CONCATENATE($F23,"_",BV$4),P1125_4,MATCH(BV$3,PAAC!$E$19:$M$19,0),0)),"")</f>
        <v/>
      </c>
      <c r="BW23" s="129" t="str">
        <f>+IFERROR(IF(ISBLANK(VLOOKUP(CONCATENATE($F23,"_",BW$4),P1125_4,MATCH(BW$3,PAAC!$E$19:$M$19,0),0)),"",VLOOKUP(CONCATENATE($F23,"_",BW$4),P1125_4,MATCH(BW$3,PAAC!$E$19:$M$19,0),0)),"")</f>
        <v/>
      </c>
      <c r="BX23" s="129" t="str">
        <f>+IFERROR(IF(ISBLANK(VLOOKUP(CONCATENATE($F23,"_",BX$4),P1125_4,MATCH(BX$3,PAAC!$E$19:$M$19,0),0)),"",VLOOKUP(CONCATENATE($F23,"_",BX$4),P1125_4,MATCH(BX$3,PAAC!$E$19:$M$19,0),0)),"")</f>
        <v/>
      </c>
      <c r="BY23" s="129" t="str">
        <f>+IFERROR(IF(ISBLANK(VLOOKUP(CONCATENATE($F23,"_",BY$4),P1125_4,MATCH(BY$3,PAAC!$E$19:$M$19,0),0)),"",VLOOKUP(CONCATENATE($F23,"_",BY$4),P1125_4,MATCH(BY$3,PAAC!$E$19:$M$19,0),0)),"")</f>
        <v/>
      </c>
      <c r="BZ23" s="129" t="str">
        <f>+IFERROR(IF(ISBLANK(VLOOKUP(CONCATENATE($F23,"_",BZ$4),P1125_4,MATCH(BZ$3,PAAC!$E$19:$M$19,0),0)),"",VLOOKUP(CONCATENATE($F23,"_",BZ$4),P1125_4,MATCH(BZ$3,PAAC!$E$19:$M$19,0),0)),"")</f>
        <v/>
      </c>
      <c r="CA23" s="129" t="str">
        <f>+IFERROR(IF(ISBLANK(VLOOKUP(CONCATENATE($F23,"_",CA$4),P1125_4,MATCH(CA$3,PAAC!$E$19:$M$19,0),0)),"",VLOOKUP(CONCATENATE($F23,"_",CA$4),P1125_4,MATCH(CA$3,PAAC!$E$19:$M$19,0),0)),"")</f>
        <v/>
      </c>
      <c r="CB23" s="129" t="str">
        <f>+IFERROR(IF(ISBLANK(VLOOKUP(CONCATENATE($F23,"_",CB$4),P1125_4,MATCH(CB$3,PAAC!$E$19:$M$19,0),0)),"",VLOOKUP(CONCATENATE($F23,"_",CB$4),P1125_4,MATCH(CB$3,PAAC!$E$19:$M$19,0),0)),"")</f>
        <v/>
      </c>
      <c r="CC23" s="129" t="str">
        <f>+IFERROR(IF(ISBLANK(VLOOKUP(CONCATENATE($F23,"_",CC$4),P1125_4,MATCH(CC$3,PAAC!$E$19:$M$19,0),0)),"",VLOOKUP(CONCATENATE($F23,"_",CC$4),P1125_4,MATCH(CC$3,PAAC!$E$19:$M$19,0),0)),"")</f>
        <v/>
      </c>
      <c r="CD23" s="129" t="str">
        <f t="shared" si="11"/>
        <v/>
      </c>
      <c r="CE23" s="129" t="str">
        <f t="shared" si="3"/>
        <v/>
      </c>
      <c r="CF23" s="129" t="str">
        <f t="shared" si="4"/>
        <v/>
      </c>
      <c r="CG23" s="129" t="str">
        <f t="shared" si="5"/>
        <v/>
      </c>
      <c r="CH23" s="129" t="str">
        <f t="shared" si="6"/>
        <v/>
      </c>
      <c r="CI23" t="str">
        <f t="shared" si="18"/>
        <v>Cumple</v>
      </c>
      <c r="CJ23" t="str">
        <f t="shared" si="18"/>
        <v>Cumplido</v>
      </c>
      <c r="CK23" t="str">
        <f t="shared" si="18"/>
        <v>Adecuado</v>
      </c>
      <c r="CL23" t="str">
        <f t="shared" si="18"/>
        <v>Coherente</v>
      </c>
      <c r="CM23" t="str">
        <f t="shared" si="18"/>
        <v>Concuerda</v>
      </c>
      <c r="CN23" t="str">
        <f t="shared" si="18"/>
        <v>Concuerda</v>
      </c>
      <c r="CO23" t="str">
        <f t="shared" si="18"/>
        <v>No aplica</v>
      </c>
      <c r="CP23" t="str">
        <f t="shared" si="18"/>
        <v>Adecuado</v>
      </c>
      <c r="CQ23" t="str">
        <f t="shared" si="18"/>
        <v>Oportuna</v>
      </c>
      <c r="CR23" t="str">
        <f t="shared" si="18"/>
        <v>Ninguna</v>
      </c>
      <c r="CS23" t="str">
        <f t="shared" si="19"/>
        <v>Sandra Patricia Ortiz Barrera</v>
      </c>
      <c r="CT23" t="str">
        <f t="shared" si="19"/>
        <v>Cumple</v>
      </c>
      <c r="CU23" t="str">
        <f t="shared" si="19"/>
        <v>Cumplido</v>
      </c>
      <c r="CV23" t="str">
        <f t="shared" si="19"/>
        <v>Adecuado</v>
      </c>
      <c r="CW23" t="str">
        <f t="shared" si="19"/>
        <v>Coherente</v>
      </c>
      <c r="CX23" t="str">
        <f t="shared" si="19"/>
        <v>Concuerda</v>
      </c>
      <c r="CY23" t="str">
        <f t="shared" si="19"/>
        <v>Concuerda</v>
      </c>
      <c r="CZ23" t="str">
        <f t="shared" si="19"/>
        <v>No aplica</v>
      </c>
      <c r="DA23" t="str">
        <f t="shared" si="19"/>
        <v>Adecuado</v>
      </c>
      <c r="DB23" t="str">
        <f t="shared" si="19"/>
        <v>Oportuna</v>
      </c>
      <c r="DC23" t="str">
        <f t="shared" si="20"/>
        <v>Ninguna</v>
      </c>
      <c r="DD23">
        <f t="shared" si="20"/>
        <v>0</v>
      </c>
      <c r="DE23" t="e">
        <f t="shared" si="20"/>
        <v>#REF!</v>
      </c>
      <c r="DF23" t="e">
        <f t="shared" si="20"/>
        <v>#REF!</v>
      </c>
      <c r="DG23" t="e">
        <f t="shared" si="20"/>
        <v>#REF!</v>
      </c>
      <c r="DH23" t="e">
        <f t="shared" si="20"/>
        <v>#REF!</v>
      </c>
      <c r="DI23" t="e">
        <f t="shared" si="20"/>
        <v>#REF!</v>
      </c>
      <c r="DJ23" t="e">
        <f t="shared" si="20"/>
        <v>#REF!</v>
      </c>
      <c r="DK23" t="e">
        <f t="shared" si="20"/>
        <v>#REF!</v>
      </c>
      <c r="DL23" t="e">
        <f t="shared" si="20"/>
        <v>#REF!</v>
      </c>
      <c r="DM23" t="e">
        <f t="shared" si="21"/>
        <v>#REF!</v>
      </c>
      <c r="DN23" t="e">
        <f t="shared" si="21"/>
        <v>#REF!</v>
      </c>
      <c r="DO23" t="e">
        <f t="shared" si="21"/>
        <v>#REF!</v>
      </c>
      <c r="DP23" t="e">
        <f t="shared" si="21"/>
        <v>#REF!</v>
      </c>
      <c r="DQ23" t="e">
        <f t="shared" si="21"/>
        <v>#REF!</v>
      </c>
      <c r="DR23" t="e">
        <f t="shared" si="21"/>
        <v>#REF!</v>
      </c>
      <c r="DS23" t="e">
        <f t="shared" si="21"/>
        <v>#REF!</v>
      </c>
      <c r="DT23" t="e">
        <f t="shared" si="21"/>
        <v>#REF!</v>
      </c>
      <c r="DU23" t="e">
        <f t="shared" si="21"/>
        <v>#REF!</v>
      </c>
      <c r="DV23" t="e">
        <f t="shared" si="21"/>
        <v>#REF!</v>
      </c>
      <c r="DW23" t="e">
        <f t="shared" si="21"/>
        <v>#REF!</v>
      </c>
      <c r="DX23" t="e">
        <f t="shared" si="21"/>
        <v>#REF!</v>
      </c>
    </row>
    <row r="24" spans="1:128" x14ac:dyDescent="0.3">
      <c r="A24" s="423">
        <f t="shared" si="16"/>
        <v>145</v>
      </c>
      <c r="B24" t="str">
        <f t="shared" si="17"/>
        <v>2_Oficina de Tecnologías de la Información y las Comunicaciones</v>
      </c>
      <c r="C24">
        <f t="shared" si="8"/>
        <v>2</v>
      </c>
      <c r="D24" t="str">
        <f t="shared" si="0"/>
        <v>Oficina de Tecnologías de la Información y las Comunicaciones</v>
      </c>
      <c r="E24" t="str">
        <f t="shared" si="1"/>
        <v>oti</v>
      </c>
      <c r="F24" s="208">
        <f>Oficinas!D22</f>
        <v>145</v>
      </c>
      <c r="G24" t="str">
        <f t="shared" si="2"/>
        <v>Constante</v>
      </c>
      <c r="H24" t="str">
        <f t="shared" si="2"/>
        <v>Porcentaje</v>
      </c>
      <c r="I24">
        <f t="shared" si="2"/>
        <v>0</v>
      </c>
      <c r="J24">
        <f t="shared" si="2"/>
        <v>0.94</v>
      </c>
      <c r="K24" t="str">
        <f>+IFERROR(VLOOKUP($F24,Oficinas_1,MATCH(K$5,Oficinas!$D$9:$V$9,0),0),"")</f>
        <v>Constante</v>
      </c>
      <c r="L24" t="str">
        <f>+IFERROR(VLOOKUP($F24,Oficinas_1,MATCH(L$5,Oficinas!$D$9:$V$9,0),0),"")</f>
        <v/>
      </c>
      <c r="M24">
        <f t="shared" si="9"/>
        <v>282</v>
      </c>
      <c r="N24">
        <f>+IFERROR(VLOOKUP($F24,Oficinas_1,MATCH(N$5,Oficinas!$D$9:$V$9,0),0),"")</f>
        <v>94</v>
      </c>
      <c r="O24">
        <f>+IFERROR(VLOOKUP($F24,Oficinas_1,MATCH(O$5,Oficinas!$D$9:$V$9,0),0),"")</f>
        <v>94</v>
      </c>
      <c r="P24">
        <f>+IFERROR(VLOOKUP($F24,Oficinas_1,MATCH(P$5,Oficinas!$D$9:$V$9,0),0),"")</f>
        <v>94</v>
      </c>
      <c r="Q24">
        <f>+IFERROR(VLOOKUP($F24,Oficinas_1,MATCH(Q$5,Oficinas!$D$9:$V$9,0),0),"")</f>
        <v>94</v>
      </c>
      <c r="R24">
        <f>+IFERROR(VLOOKUP($F24,Oficinas_1,MATCH(R$5,Oficinas!$D$9:$V$9,0),0),"")</f>
        <v>94</v>
      </c>
      <c r="S24">
        <f>+IFERROR(VLOOKUP($F24,Oficinas_1,MATCH(S$5,Oficinas!$D$9:$V$9,0),0),"")</f>
        <v>94</v>
      </c>
      <c r="T24">
        <f>+IFERROR(VLOOKUP($F24,Oficinas_1,MATCH(T$5,Oficinas!$D$9:$V$9,0),0),"")</f>
        <v>94</v>
      </c>
      <c r="U24" t="str">
        <f>+IFERROR(VLOOKUP($F24,Oficinas_1,MATCH(U$5,Oficinas!$D$9:$V$9,0),0),"")</f>
        <v>Mantener el porcentaje de 94% de incidentes o servicios informáticos solucionados  en el tiempo establecido como política o SLAs</v>
      </c>
      <c r="V24" t="str">
        <f>+IFERROR(VLOOKUP($F24,Oficinas_1,MATCH(V$5,Oficinas!$D$9:$V$9,0),0),"")</f>
        <v>• Solucionar las solicitudes de carácter técnica registradas en la Herramienta GLPI</v>
      </c>
      <c r="W24" t="str">
        <f>+IFERROR(VLOOKUP($F24,Oficinas_1,MATCH(W$5,Oficinas!$D$9:$V$9,0),0),"")</f>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
      <c r="X24" t="str">
        <f>+IFERROR(VLOOKUP($F24,Oficinas_1,MATCH(X$5,Oficinas!$D$9:$V$9,0),0),"")</f>
        <v>Reporte y/o consulta del Aplicativo GLPI</v>
      </c>
      <c r="Y24">
        <f>+IFERROR(IF(ISBLANK(VLOOKUP(CONCATENATE($F24,"_",Y$4),Oficinas_2,MATCH(Y$3,Oficinas!$F$26:$O$26,0),0)),"",VLOOKUP(CONCATENATE($F24,"_",Y$4),Oficinas_2,MATCH(Y$3,Oficinas!$F$26:$O$26,0),0)),"")</f>
        <v>1824</v>
      </c>
      <c r="Z24">
        <f>+IFERROR(IF(ISBLANK(VLOOKUP(CONCATENATE($F24,"_",Z$4),Oficinas_2,MATCH(Z$3,Oficinas!$F$26:$O$26,0),0)),"",VLOOKUP(CONCATENATE($F24,"_",Z$4),Oficinas_2,MATCH(Z$3,Oficinas!$F$26:$O$26,0),0)),"")</f>
        <v>1978</v>
      </c>
      <c r="AA24" t="str">
        <f>+IFERROR(IF(ISBLANK(VLOOKUP(CONCATENATE($F24,"_",AA$4),Oficinas_2,MATCH(AA$3,Oficinas!$F$26:$O$26,0),0)),"",VLOOKUP(CONCATENATE($F24,"_",AA$4),Oficinas_2,MATCH(AA$3,Oficinas!$F$26:$O$26,0),0)),"")</f>
        <v>Los resultados de la medición durante el mes de enero de 2020, arroja los siguientes datos: fueron registradas 148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2587 registradas, se debe restar las siguientes:
· 16 solicitudes que se encuentran en “Espera” o “En curso”, en el seguimiento de estas se encuentra registrada la razón por la cual estas solicitudes no se han resuelto.
· 105 solicitudes que NO son de nuestra competencia o Solicitudes NO categorizadas y 488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609 solicitudes.
De acuerdo con lo anterior las solicitudes atendidas corresponden a 1978 de las cuales 1824 están dentro de los SLA establecidos, correspondientes al 92.21% incumpliendo la meta establecida para este indicador.</v>
      </c>
      <c r="AB24" t="str">
        <f>+IFERROR(IF(ISBLANK(VLOOKUP(CONCATENATE($F24,"_",AB$4),Oficinas_2,MATCH(AB$3,Oficinas!$F$26:$O$26,0),0)),"",VLOOKUP(CONCATENATE($F24,"_",AB$4),Oficinas_2,MATCH(AB$3,Oficinas!$F$26:$O$26,0),0)),"")</f>
        <v>Se evidencia un aumento en los servicios de creación de usuarios de red y tarjeta de proximidad, lo cual impactan la prestación normal del servicio.</v>
      </c>
      <c r="AC24" t="str">
        <f>+IFERROR(IF(ISBLANK(VLOOKUP(CONCATENATE($F24,"_",AC$4),Oficinas_2,MATCH(AC$3,Oficinas!$F$26:$O$26,0),0)),"",VLOOKUP(CONCATENATE($F24,"_",AC$4),Oficinas_2,MATCH(AC$3,Oficinas!$F$26:$O$26,0),0)),"")</f>
        <v>Las solicitudes reportados por los usuarios de la infraestructura tecnológica de la Secretaria General se solucionan en un tiempo establecido como política por la Oficina de las tecnologías de la información y las comunicaciones. Se logra un 92.2%</v>
      </c>
      <c r="AD24">
        <f>+IFERROR(IF(ISBLANK(VLOOKUP(CONCATENATE($F24,"_",AD$4),Oficinas_2,MATCH(AD$3,Oficinas!$F$26:$O$26,0),0)),"",VLOOKUP(CONCATENATE($F24,"_",AD$4),Oficinas_2,MATCH(AD$3,Oficinas!$F$26:$O$26,0),0)),"")</f>
        <v>2181</v>
      </c>
      <c r="AE24">
        <f>+IFERROR(IF(ISBLANK(VLOOKUP(CONCATENATE($F24,"_",AE$4),Oficinas_2,MATCH(AE$3,Oficinas!$F$26:$O$26,0),0)),"",VLOOKUP(CONCATENATE($F24,"_",AE$4),Oficinas_2,MATCH(AE$3,Oficinas!$F$26:$O$26,0),0)),"")</f>
        <v>2270</v>
      </c>
      <c r="AF24" t="str">
        <f>+IFERROR(IF(ISBLANK(VLOOKUP(CONCATENATE($F24,"_",AF$4),Oficinas_2,MATCH(AF$3,Oficinas!$F$26:$O$26,0),0)),"",VLOOKUP(CONCATENATE($F24,"_",AF$4),Oficinas_2,MATCH(AF$3,Oficinas!$F$26:$O$26,0),0)),"")</f>
        <v>Los resultados de la medición durante el mes de febrero de 2020, arroja los siguientes datos: fueron registradas 2584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2584 registradas, se debe restar las siguientes:
•	24 solicitudes que se encuentran en “Espera” o “En curso”, en el seguimiento de estas se encuentra registrada la razón por la cual estas solicitudes no se han resuelto. 
•	80 solicitudes que NO son de nuestra competencia o Solicitudes NO categorizadas y 210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314 solicitudes. 
De acuerdo con lo anterior las solicitudes atendidas corresponden a 2270 de las cuales 2181 están dentro de los SLA establecidos, correspondientes al 96.08% cumpliendo la meta establecida para este indicador.</v>
      </c>
      <c r="AG24" t="str">
        <f>+IFERROR(IF(ISBLANK(VLOOKUP(CONCATENATE($F24,"_",AG$4),Oficinas_2,MATCH(AG$3,Oficinas!$F$26:$O$26,0),0)),"",VLOOKUP(CONCATENATE($F24,"_",AG$4),Oficinas_2,MATCH(AG$3,Oficinas!$F$26:$O$26,0),0)),"")</f>
        <v>N/A</v>
      </c>
      <c r="AH24" t="str">
        <f>+IFERROR(IF(ISBLANK(VLOOKUP(CONCATENATE($F24,"_",AH$4),Oficinas_2,MATCH(AH$3,Oficinas!$F$26:$O$26,0),0)),"",VLOOKUP(CONCATENATE($F24,"_",AH$4),Oficinas_2,MATCH(AH$3,Oficinas!$F$26:$O$26,0),0)),"")</f>
        <v xml:space="preserve">En este tiempo todas las solicitudes fueron registradas en el sistema de gestión de servicios (GLPI). De las 2584 que fueron registradas, se tiene en cuenta para el análisis 2270 solicitudes de las cuales 2181 están dentro de los SLA establecidos, correspondientes al 96.08%. </v>
      </c>
      <c r="AI24">
        <f>+IFERROR(IF(ISBLANK(VLOOKUP(CONCATENATE($F24,"_",AI$4),Oficinas_2,MATCH(AI$3,Oficinas!$F$26:$O$26,0),0)),"",VLOOKUP(CONCATENATE($F24,"_",AI$4),Oficinas_2,MATCH(AI$3,Oficinas!$F$26:$O$26,0),0)),"")</f>
        <v>1437</v>
      </c>
      <c r="AJ24">
        <f>+IFERROR(IF(ISBLANK(VLOOKUP(CONCATENATE($F24,"_",AJ$4),Oficinas_2,MATCH(AJ$3,Oficinas!$F$26:$O$26,0),0)),"",VLOOKUP(CONCATENATE($F24,"_",AJ$4),Oficinas_2,MATCH(AJ$3,Oficinas!$F$26:$O$26,0),0)),"")</f>
        <v>1521</v>
      </c>
      <c r="AK24" t="str">
        <f>+IFERROR(IF(ISBLANK(VLOOKUP(CONCATENATE($F24,"_",AK$4),Oficinas_2,MATCH(AK$3,Oficinas!$F$26:$O$26,0),0)),"",VLOOKUP(CONCATENATE($F24,"_",AK$4),Oficinas_2,MATCH(AK$3,Oficinas!$F$26:$O$26,0),0)),"")</f>
        <v>Los resultados de la medición durante el mes de marzo de 2020, arroja los siguientes datos: fueron registradas 1877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1877 registradas, se debe restar las siguientes:
•	131 solicitudes que se encuentran en “Espera” o “En curso”, en el seguimiento de estas se encuentra registrada la razón por la cual estas solicitudes no se han resuelto. 
•	64 solicitudes que NO son de nuestra competencia o Solicitudes NO categorizadas y 161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356 solicitudes. 
De acuerdo con lo anterior las solicitudes atendidas corresponden a 1521 de las cuales 1437 están dentro de los SLA establecidos, correspondientes al 94.48% cumpliendo la meta establecida para este indicador.</v>
      </c>
      <c r="AL24" t="str">
        <f>+IFERROR(IF(ISBLANK(VLOOKUP(CONCATENATE($F24,"_",AL$4),Oficinas_2,MATCH(AL$3,Oficinas!$F$26:$O$26,0),0)),"",VLOOKUP(CONCATENATE($F24,"_",AL$4),Oficinas_2,MATCH(AL$3,Oficinas!$F$26:$O$26,0),0)),"")</f>
        <v>N/A</v>
      </c>
      <c r="AM24" t="str">
        <f>+IFERROR(IF(ISBLANK(VLOOKUP(CONCATENATE($F24,"_",AM$4),Oficinas_2,MATCH(AM$3,Oficinas!$F$26:$O$26,0),0)),"",VLOOKUP(CONCATENATE($F24,"_",AM$4),Oficinas_2,MATCH(AM$3,Oficinas!$F$26:$O$26,0),0)),"")</f>
        <v xml:space="preserve">En este tiempo todas las solicitudes fueron registradas en el sistema de gestión de servicios (GLPI). De las 1877 que fueron registradas, se tiene en cuenta para el análisis 1521 solicitudes de las cuales 1437 están dentro de los SLA establecidos, correspondientes al 94.48%. </v>
      </c>
      <c r="AN24">
        <f>+IFERROR(IF(ISBLANK(VLOOKUP(CONCATENATE($F24,"_",AN$4),Oficinas_2,MATCH(AN$3,Oficinas!$F$26:$O$26,0),0)),"",VLOOKUP(CONCATENATE($F24,"_",AN$4),Oficinas_2,MATCH(AN$3,Oficinas!$F$26:$O$26,0),0)),"")</f>
        <v>586</v>
      </c>
      <c r="AO24">
        <f>+IFERROR(IF(ISBLANK(VLOOKUP(CONCATENATE($F24,"_",AO$4),Oficinas_2,MATCH(AO$3,Oficinas!$F$26:$O$26,0),0)),"",VLOOKUP(CONCATENATE($F24,"_",AO$4),Oficinas_2,MATCH(AO$3,Oficinas!$F$26:$O$26,0),0)),"")</f>
        <v>609</v>
      </c>
      <c r="AP24" t="str">
        <f>+IFERROR(IF(ISBLANK(VLOOKUP(CONCATENATE($F24,"_",AP$4),Oficinas_2,MATCH(AP$3,Oficinas!$F$26:$O$26,0),0)),"",VLOOKUP(CONCATENATE($F24,"_",AP$4),Oficinas_2,MATCH(AP$3,Oficinas!$F$26:$O$26,0),0)),"")</f>
        <v>Los resultados de la medición durante el mes de abril de 2020, arroja los siguientes datos: fueron registradas 763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763 registradas, se debe restar las siguientes:
•	16 solicitudes que se encuentran en “Espera” o “En curso”, en el seguimiento de estas se encuentra registrada la razón por la cual estas solicitudes no se han resuelto. 
•	19 solicitudes que NO son de nuestra competencia o Solicitudes NO categorizadas y 119 servicios que corresponden a la atención del sistema SIVIC el cual se realiza directamente por los ingenieros de la Alta Consejeria para los derechos de las víctimas la paz y la reconciliación (ACDVPR) y por tal razón no son de competencia de la Oficina TIC.
Para efectos del indicador no se tendrán en cuenta 154 solicitudes. 
De acuerdo con lo anterior las solicitudes atendidas corresponden a 609 de las cuales 586 están dentro de los SLA establecidos, correspondientes al 96.22% cumpliendo la meta establecida para este indicador.</v>
      </c>
      <c r="AQ24" t="str">
        <f>+IFERROR(IF(ISBLANK(VLOOKUP(CONCATENATE($F24,"_",AQ$4),Oficinas_2,MATCH(AQ$3,Oficinas!$F$26:$O$26,0),0)),"",VLOOKUP(CONCATENATE($F24,"_",AQ$4),Oficinas_2,MATCH(AQ$3,Oficinas!$F$26:$O$26,0),0)),"")</f>
        <v>N/A</v>
      </c>
      <c r="AR24" t="str">
        <f>+IFERROR(IF(ISBLANK(VLOOKUP(CONCATENATE($F24,"_",AR$4),Oficinas_2,MATCH(AR$3,Oficinas!$F$26:$O$26,0),0)),"",VLOOKUP(CONCATENATE($F24,"_",AR$4),Oficinas_2,MATCH(AR$3,Oficinas!$F$26:$O$26,0),0)),"")</f>
        <v xml:space="preserve">En este tiempo todas las solicitudes fueron registradas en el sistema de gestión de servicios (GLPI). De las 763 que fueron registradas, se tiene en cuenta para el análisis 609 solicitudes de las cuales 586 están dentro de los SLA establecidos, correspondientes al 96.22%. </v>
      </c>
      <c r="AS24">
        <f>+IFERROR(IF(ISBLANK(VLOOKUP(CONCATENATE($F24,"_",AS$4),Oficinas_2,MATCH(AS$3,Oficinas!$F$26:$O$26,0),0)),"",VLOOKUP(CONCATENATE($F24,"_",AS$4),Oficinas_2,MATCH(AS$3,Oficinas!$F$26:$O$26,0),0)),"")</f>
        <v>850</v>
      </c>
      <c r="AT24">
        <f>+IFERROR(IF(ISBLANK(VLOOKUP(CONCATENATE($F24,"_",AT$4),Oficinas_2,MATCH(AT$3,Oficinas!$F$26:$O$26,0),0)),"",VLOOKUP(CONCATENATE($F24,"_",AT$4),Oficinas_2,MATCH(AT$3,Oficinas!$F$26:$O$26,0),0)),"")</f>
        <v>900</v>
      </c>
      <c r="AU24" t="str">
        <f>+IFERROR(IF(ISBLANK(VLOOKUP(CONCATENATE($F24,"_",AU$4),Oficinas_2,MATCH(AU$3,Oficinas!$F$26:$O$26,0),0)),"",VLOOKUP(CONCATENATE($F24,"_",AU$4),Oficinas_2,MATCH(AU$3,Oficinas!$F$26:$O$26,0),0)),"")</f>
        <v>Los resultados de la medición durante el mes de mayo de 2020, arroja los siguientes datos: fueron registradas 1189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1189 registradas, se debe restar las siguientes:
•	218 solicitudes que se encuentran en “Espera” o “En curso”, en el seguimiento de estas se encuentra registrada la razón por la cual estas solicitudes no se han resuelto. 
•	14 solicitudes que NO son de nuestra competencia o Solicitudes NO categorizadas y 55 servicios que corresponden a la atención del sistema SIVIC el cual se realiza directamente por los ingenieros de la Alta Consejería para los derechos de las víctimas la paz y la reconciliación (ACDVPR) y 2 servicios que corresponde a actividades administrativas realizadas por la Subdirección de servicios administrativos y por tal razón no son de competencia de la Oficina TIC. 
Para efectos del indicador no se tendrán en cuenta 289 solicitudes. 
De acuerdo con lo anterior las solicitudes atendidas corresponden a 900 de las cuales 850 están dentro de los SLA establecidos, correspondientes al 94.44% cumpliendo la meta establecida para este indicador.</v>
      </c>
      <c r="AV24" t="str">
        <f>+IFERROR(IF(ISBLANK(VLOOKUP(CONCATENATE($F24,"_",AV$4),Oficinas_2,MATCH(AV$3,Oficinas!$F$26:$O$26,0),0)),"",VLOOKUP(CONCATENATE($F24,"_",AV$4),Oficinas_2,MATCH(AV$3,Oficinas!$F$26:$O$26,0),0)),"")</f>
        <v>N/A</v>
      </c>
      <c r="AW24" t="str">
        <f>+IFERROR(IF(ISBLANK(VLOOKUP(CONCATENATE($F24,"_",AW$4),Oficinas_2,MATCH(AW$3,Oficinas!$F$26:$O$26,0),0)),"",VLOOKUP(CONCATENATE($F24,"_",AW$4),Oficinas_2,MATCH(AW$3,Oficinas!$F$26:$O$26,0),0)),"")</f>
        <v xml:space="preserve">En este tiempo todas las solicitudes fueron registradas en el sistema de gestión de servicios (GLPI). De las 1189 que fueron registradas, se tiene en cuenta para el análisis 900 solicitudes de las cuales 850 están dentro de los SLA establecidos, correspondientes al 94.44%. </v>
      </c>
      <c r="AX24">
        <f>+IFERROR(IF(ISBLANK(VLOOKUP(CONCATENATE($F24,"_",AX$4),Oficinas_2,MATCH(AX$3,Oficinas!$F$26:$O$26,0),0)),"",VLOOKUP(CONCATENATE($F24,"_",AX$4),Oficinas_2,MATCH(AX$3,Oficinas!$F$26:$O$26,0),0)),"")</f>
        <v>999</v>
      </c>
      <c r="AY24">
        <f>+IFERROR(IF(ISBLANK(VLOOKUP(CONCATENATE($F24,"_",AY$4),Oficinas_2,MATCH(AY$3,Oficinas!$F$26:$O$26,0),0)),"",VLOOKUP(CONCATENATE($F24,"_",AY$4),Oficinas_2,MATCH(AY$3,Oficinas!$F$26:$O$26,0),0)),"")</f>
        <v>1088</v>
      </c>
      <c r="AZ24" t="str">
        <f>+IFERROR(IF(ISBLANK(VLOOKUP(CONCATENATE($F24,"_",AZ$4),Oficinas_2,MATCH(AZ$3,Oficinas!$F$26:$O$26,0),0)),"",VLOOKUP(CONCATENATE($F24,"_",AZ$4),Oficinas_2,MATCH(AZ$3,Oficinas!$F$26:$O$26,0),0)),"")</f>
        <v>Los resultados de la medición durante el mes de junio de 2020, arroja los siguientes datos: fueron registradas 1256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1189 registradas, se debe restar las siguientes:
•	120 solicitudes que se encuentran en “Espera” o “En curso”, en el seguimiento de estas se encuentra registrada la razón por la cual estas solicitudes no se han resuelto. 
•	10 solicitudes que NO son de nuestra competencia o Solicitudes NO categorizadas y 38 servicios que corresponden a la atención del sistema SIVIC el cual se realiza directamente por los ingenieros de la Alta Consejería para los derechos de las víctimas la paz y la reconciliación (ACDVPR) por tal razón no son de competencia de la Oficina TIC. 
Para efectos del indicador no se tendrán en cuenta 168 solicitudes. 
De acuerdo con lo anterior las solicitudes atendidas corresponden a 1088 de las cuales 999 están dentro de los SLA establecidos, correspondientes al 91.82% incumpliendo la meta establecida para este indicador.</v>
      </c>
      <c r="BA24" t="str">
        <f>+IFERROR(IF(ISBLANK(VLOOKUP(CONCATENATE($F24,"_",BA$4),Oficinas_2,MATCH(BA$3,Oficinas!$F$26:$O$26,0),0)),"",VLOOKUP(CONCATENATE($F24,"_",BA$4),Oficinas_2,MATCH(BA$3,Oficinas!$F$26:$O$26,0),0)),"")</f>
        <v>Se inicia plan de contingencia por la pandemia COVID-19 y plan de alistamiento donde se priorizan los servicios de asignación de VPN y gestión de los sistemas de información desde casa.
Con el fin de mejor el indicador se proponen las siguientes actividades:
•	Capacitación en el uso y manejo del sistema de gestión de servicios (GLPI) encaminado a crear en los ingenieros o técnicos tanto de nivel 0, nivel 1 como de nivel 2, el hábito de registrar en la herramienta las actividades que se hacen entorno a una solicitud, evidenciando de esta manera, todo el trabajo que se requiere dar solución a un requerimiento. 
•	Se comunicará al interior de la oficina TIC los SLA que corresponden a cada una de las categorías existentes en el sistema de gestión de servicios</v>
      </c>
      <c r="BB24" t="str">
        <f>+IFERROR(IF(ISBLANK(VLOOKUP(CONCATENATE($F24,"_",BB$4),Oficinas_2,MATCH(BB$3,Oficinas!$F$26:$O$26,0),0)),"",VLOOKUP(CONCATENATE($F24,"_",BB$4),Oficinas_2,MATCH(BB$3,Oficinas!$F$26:$O$26,0),0)),"")</f>
        <v xml:space="preserve">En este tiempo todas las solicitudes fueron registradas en el sistema de gestión de servicios (GLPI). De las 1256 que fueron registradas, se tiene en cuenta para el análisis 1088 solicitudes de las cuales 999 están dentro de los SLA establecidos, correspondientes al 91.82%. </v>
      </c>
      <c r="BC24">
        <f t="shared" si="10"/>
        <v>7877</v>
      </c>
      <c r="BD24">
        <f t="shared" si="10"/>
        <v>8366</v>
      </c>
      <c r="BE24" s="129" t="str">
        <f>+IFERROR(IF(ISBLANK(VLOOKUP(CONCATENATE($F24,"_",BE$4),P1125_4,MATCH(BE$3,PAAC!$E$19:$M$19,0),0)),"",VLOOKUP(CONCATENATE($F24,"_",BE$4),P1125_4,MATCH(BE$3,PAAC!$E$19:$M$19,0),0)),"")</f>
        <v/>
      </c>
      <c r="BF24" s="129" t="str">
        <f>+IFERROR(IF(ISBLANK(VLOOKUP(CONCATENATE($F24,"_",BF$4),P1125_4,MATCH(BF$3,PAAC!$E$19:$M$19,0),0)),"",VLOOKUP(CONCATENATE($F24,"_",BF$4),P1125_4,MATCH(BF$3,PAAC!$E$19:$M$19,0),0)),"")</f>
        <v/>
      </c>
      <c r="BG24" s="129" t="str">
        <f>+IFERROR(IF(ISBLANK(VLOOKUP(CONCATENATE($F24,"_",BG$4),P1125_4,MATCH(BG$3,PAAC!$E$19:$M$19,0),0)),"",VLOOKUP(CONCATENATE($F24,"_",BG$4),P1125_4,MATCH(BG$3,PAAC!$E$19:$M$19,0),0)),"")</f>
        <v/>
      </c>
      <c r="BH24" s="129" t="str">
        <f>+IFERROR(IF(ISBLANK(VLOOKUP(CONCATENATE($F24,"_",BH$4),P1125_4,MATCH(BH$3,PAAC!$E$19:$M$19,0),0)),"",VLOOKUP(CONCATENATE($F24,"_",BH$4),P1125_4,MATCH(BH$3,PAAC!$E$19:$M$19,0),0)),"")</f>
        <v/>
      </c>
      <c r="BI24" s="129" t="str">
        <f>+IFERROR(IF(ISBLANK(VLOOKUP(CONCATENATE($F24,"_",BI$4),P1125_4,MATCH(BI$3,PAAC!$E$19:$M$19,0),0)),"",VLOOKUP(CONCATENATE($F24,"_",BI$4),P1125_4,MATCH(BI$3,PAAC!$E$19:$M$19,0),0)),"")</f>
        <v/>
      </c>
      <c r="BJ24" s="129" t="str">
        <f>+IFERROR(IF(ISBLANK(VLOOKUP(CONCATENATE($F24,"_",BJ$4),P1125_4,MATCH(BJ$3,PAAC!$E$19:$M$19,0),0)),"",VLOOKUP(CONCATENATE($F24,"_",BJ$4),P1125_4,MATCH(BJ$3,PAAC!$E$19:$M$19,0),0)),"")</f>
        <v/>
      </c>
      <c r="BK24" s="129" t="str">
        <f>+IFERROR(IF(ISBLANK(VLOOKUP(CONCATENATE($F24,"_",BK$4),P1125_4,MATCH(BK$3,PAAC!$E$19:$M$19,0),0)),"",VLOOKUP(CONCATENATE($F24,"_",BK$4),P1125_4,MATCH(BK$3,PAAC!$E$19:$M$19,0),0)),"")</f>
        <v/>
      </c>
      <c r="BL24" s="129" t="str">
        <f>+IFERROR(IF(ISBLANK(VLOOKUP(CONCATENATE($F24,"_",BL$4),P1125_4,MATCH(BL$3,PAAC!$E$19:$M$19,0),0)),"",VLOOKUP(CONCATENATE($F24,"_",BL$4),P1125_4,MATCH(BL$3,PAAC!$E$19:$M$19,0),0)),"")</f>
        <v/>
      </c>
      <c r="BM24" s="129" t="str">
        <f>+IFERROR(IF(ISBLANK(VLOOKUP(CONCATENATE($F24,"_",BM$4),P1125_4,MATCH(BM$3,PAAC!$E$19:$M$19,0),0)),"",VLOOKUP(CONCATENATE($F24,"_",BM$4),P1125_4,MATCH(BM$3,PAAC!$E$19:$M$19,0),0)),"")</f>
        <v/>
      </c>
      <c r="BN24" s="129" t="str">
        <f>+IFERROR(IF(ISBLANK(VLOOKUP(CONCATENATE($F24,"_",BN$4),P1125_4,MATCH(BN$3,PAAC!$E$19:$M$19,0),0)),"",VLOOKUP(CONCATENATE($F24,"_",BN$4),P1125_4,MATCH(BN$3,PAAC!$E$19:$M$19,0),0)),"")</f>
        <v/>
      </c>
      <c r="BO24" s="129" t="str">
        <f>+IFERROR(IF(ISBLANK(VLOOKUP(CONCATENATE($F24,"_",BO$4),P1125_4,MATCH(BO$3,PAAC!$E$19:$M$19,0),0)),"",VLOOKUP(CONCATENATE($F24,"_",BO$4),P1125_4,MATCH(BO$3,PAAC!$E$19:$M$19,0),0)),"")</f>
        <v/>
      </c>
      <c r="BP24" s="129" t="str">
        <f>+IFERROR(IF(ISBLANK(VLOOKUP(CONCATENATE($F24,"_",BP$4),P1125_4,MATCH(BP$3,PAAC!$E$19:$M$19,0),0)),"",VLOOKUP(CONCATENATE($F24,"_",BP$4),P1125_4,MATCH(BP$3,PAAC!$E$19:$M$19,0),0)),"")</f>
        <v/>
      </c>
      <c r="BQ24" s="129" t="str">
        <f>+IFERROR(IF(ISBLANK(VLOOKUP(CONCATENATE($F24,"_",BQ$4),P1125_4,MATCH(BQ$3,PAAC!$E$19:$M$19,0),0)),"",VLOOKUP(CONCATENATE($F24,"_",BQ$4),P1125_4,MATCH(BQ$3,PAAC!$E$19:$M$19,0),0)),"")</f>
        <v/>
      </c>
      <c r="BR24" s="129" t="str">
        <f>+IFERROR(IF(ISBLANK(VLOOKUP(CONCATENATE($F24,"_",BR$4),P1125_4,MATCH(BR$3,PAAC!$E$19:$M$19,0),0)),"",VLOOKUP(CONCATENATE($F24,"_",BR$4),P1125_4,MATCH(BR$3,PAAC!$E$19:$M$19,0),0)),"")</f>
        <v/>
      </c>
      <c r="BS24" s="129" t="str">
        <f>+IFERROR(IF(ISBLANK(VLOOKUP(CONCATENATE($F24,"_",BS$4),P1125_4,MATCH(BS$3,PAAC!$E$19:$M$19,0),0)),"",VLOOKUP(CONCATENATE($F24,"_",BS$4),P1125_4,MATCH(BS$3,PAAC!$E$19:$M$19,0),0)),"")</f>
        <v/>
      </c>
      <c r="BT24" s="129" t="str">
        <f>+IFERROR(IF(ISBLANK(VLOOKUP(CONCATENATE($F24,"_",BT$4),P1125_4,MATCH(BT$3,PAAC!$E$19:$M$19,0),0)),"",VLOOKUP(CONCATENATE($F24,"_",BT$4),P1125_4,MATCH(BT$3,PAAC!$E$19:$M$19,0),0)),"")</f>
        <v/>
      </c>
      <c r="BU24" s="129" t="str">
        <f>+IFERROR(IF(ISBLANK(VLOOKUP(CONCATENATE($F24,"_",BU$4),P1125_4,MATCH(BU$3,PAAC!$E$19:$M$19,0),0)),"",VLOOKUP(CONCATENATE($F24,"_",BU$4),P1125_4,MATCH(BU$3,PAAC!$E$19:$M$19,0),0)),"")</f>
        <v/>
      </c>
      <c r="BV24" s="129" t="str">
        <f>+IFERROR(IF(ISBLANK(VLOOKUP(CONCATENATE($F24,"_",BV$4),P1125_4,MATCH(BV$3,PAAC!$E$19:$M$19,0),0)),"",VLOOKUP(CONCATENATE($F24,"_",BV$4),P1125_4,MATCH(BV$3,PAAC!$E$19:$M$19,0),0)),"")</f>
        <v/>
      </c>
      <c r="BW24" s="129" t="str">
        <f>+IFERROR(IF(ISBLANK(VLOOKUP(CONCATENATE($F24,"_",BW$4),P1125_4,MATCH(BW$3,PAAC!$E$19:$M$19,0),0)),"",VLOOKUP(CONCATENATE($F24,"_",BW$4),P1125_4,MATCH(BW$3,PAAC!$E$19:$M$19,0),0)),"")</f>
        <v/>
      </c>
      <c r="BX24" s="129" t="str">
        <f>+IFERROR(IF(ISBLANK(VLOOKUP(CONCATENATE($F24,"_",BX$4),P1125_4,MATCH(BX$3,PAAC!$E$19:$M$19,0),0)),"",VLOOKUP(CONCATENATE($F24,"_",BX$4),P1125_4,MATCH(BX$3,PAAC!$E$19:$M$19,0),0)),"")</f>
        <v/>
      </c>
      <c r="BY24" s="129" t="str">
        <f>+IFERROR(IF(ISBLANK(VLOOKUP(CONCATENATE($F24,"_",BY$4),P1125_4,MATCH(BY$3,PAAC!$E$19:$M$19,0),0)),"",VLOOKUP(CONCATENATE($F24,"_",BY$4),P1125_4,MATCH(BY$3,PAAC!$E$19:$M$19,0),0)),"")</f>
        <v/>
      </c>
      <c r="BZ24" s="129" t="str">
        <f>+IFERROR(IF(ISBLANK(VLOOKUP(CONCATENATE($F24,"_",BZ$4),P1125_4,MATCH(BZ$3,PAAC!$E$19:$M$19,0),0)),"",VLOOKUP(CONCATENATE($F24,"_",BZ$4),P1125_4,MATCH(BZ$3,PAAC!$E$19:$M$19,0),0)),"")</f>
        <v/>
      </c>
      <c r="CA24" s="129" t="str">
        <f>+IFERROR(IF(ISBLANK(VLOOKUP(CONCATENATE($F24,"_",CA$4),P1125_4,MATCH(CA$3,PAAC!$E$19:$M$19,0),0)),"",VLOOKUP(CONCATENATE($F24,"_",CA$4),P1125_4,MATCH(CA$3,PAAC!$E$19:$M$19,0),0)),"")</f>
        <v/>
      </c>
      <c r="CB24" s="129" t="str">
        <f>+IFERROR(IF(ISBLANK(VLOOKUP(CONCATENATE($F24,"_",CB$4),P1125_4,MATCH(CB$3,PAAC!$E$19:$M$19,0),0)),"",VLOOKUP(CONCATENATE($F24,"_",CB$4),P1125_4,MATCH(CB$3,PAAC!$E$19:$M$19,0),0)),"")</f>
        <v/>
      </c>
      <c r="CC24" s="129" t="str">
        <f>+IFERROR(IF(ISBLANK(VLOOKUP(CONCATENATE($F24,"_",CC$4),P1125_4,MATCH(CC$3,PAAC!$E$19:$M$19,0),0)),"",VLOOKUP(CONCATENATE($F24,"_",CC$4),P1125_4,MATCH(CC$3,PAAC!$E$19:$M$19,0),0)),"")</f>
        <v/>
      </c>
      <c r="CD24" s="129" t="str">
        <f t="shared" si="11"/>
        <v/>
      </c>
      <c r="CE24" s="129" t="str">
        <f t="shared" si="3"/>
        <v/>
      </c>
      <c r="CF24" s="129" t="str">
        <f t="shared" si="4"/>
        <v/>
      </c>
      <c r="CG24" s="129" t="str">
        <f t="shared" si="5"/>
        <v/>
      </c>
      <c r="CH24" s="129" t="str">
        <f t="shared" si="6"/>
        <v/>
      </c>
      <c r="CI24" t="str">
        <f t="shared" si="18"/>
        <v>Cumple</v>
      </c>
      <c r="CJ24" t="str">
        <f t="shared" si="18"/>
        <v>Cumplido</v>
      </c>
      <c r="CK24" t="str">
        <f t="shared" si="18"/>
        <v>Adecuado</v>
      </c>
      <c r="CL24" t="str">
        <f t="shared" si="18"/>
        <v>Coherente</v>
      </c>
      <c r="CM24" t="str">
        <f t="shared" si="18"/>
        <v>Concuerda</v>
      </c>
      <c r="CN24" t="str">
        <f t="shared" si="18"/>
        <v>Concuerda</v>
      </c>
      <c r="CO24" t="str">
        <f t="shared" si="18"/>
        <v>No aplica</v>
      </c>
      <c r="CP24" t="str">
        <f t="shared" si="18"/>
        <v>Adecuado</v>
      </c>
      <c r="CQ24" t="str">
        <f t="shared" si="18"/>
        <v>Oportuna</v>
      </c>
      <c r="CR24" t="str">
        <f t="shared" si="18"/>
        <v>Ninguna</v>
      </c>
      <c r="CS24" t="str">
        <f t="shared" si="19"/>
        <v>Sandra Patricia Ortiz Barrera</v>
      </c>
      <c r="CT24" t="str">
        <f t="shared" si="19"/>
        <v>Cumple</v>
      </c>
      <c r="CU24" t="str">
        <f t="shared" si="19"/>
        <v>Cumplido</v>
      </c>
      <c r="CV24" t="str">
        <f t="shared" si="19"/>
        <v>Adecuado</v>
      </c>
      <c r="CW24" t="str">
        <f t="shared" si="19"/>
        <v>Coherente</v>
      </c>
      <c r="CX24" t="str">
        <f t="shared" si="19"/>
        <v>Concuerda</v>
      </c>
      <c r="CY24" t="str">
        <f t="shared" si="19"/>
        <v>Concuerda</v>
      </c>
      <c r="CZ24" t="str">
        <f t="shared" si="19"/>
        <v>No aplica</v>
      </c>
      <c r="DA24" t="str">
        <f t="shared" si="19"/>
        <v>Adecuado</v>
      </c>
      <c r="DB24" t="str">
        <f t="shared" si="19"/>
        <v>Oportuna</v>
      </c>
      <c r="DC24" t="str">
        <f t="shared" si="20"/>
        <v>Ninguna</v>
      </c>
      <c r="DD24">
        <f t="shared" si="20"/>
        <v>0</v>
      </c>
      <c r="DE24" t="e">
        <f t="shared" si="20"/>
        <v>#REF!</v>
      </c>
      <c r="DF24" t="e">
        <f t="shared" si="20"/>
        <v>#REF!</v>
      </c>
      <c r="DG24" t="e">
        <f t="shared" si="20"/>
        <v>#REF!</v>
      </c>
      <c r="DH24" t="e">
        <f t="shared" si="20"/>
        <v>#REF!</v>
      </c>
      <c r="DI24" t="e">
        <f t="shared" si="20"/>
        <v>#REF!</v>
      </c>
      <c r="DJ24" t="e">
        <f t="shared" si="20"/>
        <v>#REF!</v>
      </c>
      <c r="DK24" t="e">
        <f t="shared" si="20"/>
        <v>#REF!</v>
      </c>
      <c r="DL24" t="e">
        <f t="shared" si="20"/>
        <v>#REF!</v>
      </c>
      <c r="DM24" t="e">
        <f t="shared" si="21"/>
        <v>#REF!</v>
      </c>
      <c r="DN24" t="e">
        <f t="shared" si="21"/>
        <v>#REF!</v>
      </c>
      <c r="DO24" t="e">
        <f t="shared" si="21"/>
        <v>#REF!</v>
      </c>
      <c r="DP24" t="e">
        <f t="shared" si="21"/>
        <v>#REF!</v>
      </c>
      <c r="DQ24" t="e">
        <f t="shared" si="21"/>
        <v>#REF!</v>
      </c>
      <c r="DR24" t="e">
        <f t="shared" si="21"/>
        <v>#REF!</v>
      </c>
      <c r="DS24" t="e">
        <f t="shared" si="21"/>
        <v>#REF!</v>
      </c>
      <c r="DT24" t="e">
        <f t="shared" si="21"/>
        <v>#REF!</v>
      </c>
      <c r="DU24" t="e">
        <f t="shared" si="21"/>
        <v>#REF!</v>
      </c>
      <c r="DV24" t="e">
        <f t="shared" si="21"/>
        <v>#REF!</v>
      </c>
      <c r="DW24" t="e">
        <f t="shared" si="21"/>
        <v>#REF!</v>
      </c>
      <c r="DX24" t="e">
        <f t="shared" si="21"/>
        <v>#REF!</v>
      </c>
    </row>
    <row r="25" spans="1:128" x14ac:dyDescent="0.3">
      <c r="A25" s="423" t="str">
        <f t="shared" si="16"/>
        <v>184I</v>
      </c>
      <c r="B25" t="str">
        <f t="shared" si="17"/>
        <v>1_Oficina Alta Consejería Distrital de Tecnologías de Información y Comunicaciones - TIC</v>
      </c>
      <c r="C25">
        <f t="shared" si="8"/>
        <v>1</v>
      </c>
      <c r="D25" t="str">
        <f t="shared" si="0"/>
        <v>Oficina Alta Consejería Distrital de Tecnologías de Información y Comunicaciones - TIC</v>
      </c>
      <c r="E25" t="str">
        <f t="shared" si="1"/>
        <v>ati</v>
      </c>
      <c r="F25" s="208" t="str">
        <f>Consejerías!D10</f>
        <v>184I</v>
      </c>
      <c r="G25" t="str">
        <f t="shared" si="2"/>
        <v>Creciente</v>
      </c>
      <c r="H25" t="str">
        <f t="shared" si="2"/>
        <v>Porcentaje</v>
      </c>
      <c r="I25">
        <f t="shared" si="2"/>
        <v>1</v>
      </c>
      <c r="J25">
        <f t="shared" si="2"/>
        <v>1</v>
      </c>
      <c r="K25" t="str">
        <f>+IFERROR(VLOOKUP($F25,Consejerias_1,MATCH(K$5,Consejerías!$D$9:$V$9,0),0),"")</f>
        <v>Suma</v>
      </c>
      <c r="L25">
        <f>+IFERROR(VLOOKUP($F25,Consejerias_1,MATCH(L$5,Consejerías!$D$9:$V$9,0),0),"")</f>
        <v>2.3900000000000005E-2</v>
      </c>
      <c r="M25">
        <f t="shared" si="9"/>
        <v>1.1960000000000002E-2</v>
      </c>
      <c r="N25">
        <f>+IFERROR(VLOOKUP($F25,Consejerias_1,MATCH(N$5,Consejerías!$D$9:$V$9,0),0),"")</f>
        <v>4.0000000000000001E-3</v>
      </c>
      <c r="O25">
        <f>+IFERROR(VLOOKUP($F25,Consejerias_1,MATCH(O$5,Consejerías!$D$9:$V$9,0),0),"")</f>
        <v>3.98E-3</v>
      </c>
      <c r="P25">
        <f>+IFERROR(VLOOKUP($F25,Consejerias_1,MATCH(P$5,Consejerías!$D$9:$V$9,0),0),"")</f>
        <v>3.98E-3</v>
      </c>
      <c r="Q25">
        <f>+IFERROR(VLOOKUP($F25,Consejerias_1,MATCH(Q$5,Consejerías!$D$9:$V$9,0),0),"")</f>
        <v>3.98E-3</v>
      </c>
      <c r="R25">
        <f>+IFERROR(VLOOKUP($F25,Consejerias_1,MATCH(R$5,Consejerías!$D$9:$V$9,0),0),"")</f>
        <v>3.98E-3</v>
      </c>
      <c r="S25">
        <f>+IFERROR(VLOOKUP($F25,Consejerias_1,MATCH(S$5,Consejerías!$D$9:$V$9,0),0),"")</f>
        <v>3.98E-3</v>
      </c>
      <c r="T25">
        <f>+IFERROR(VLOOKUP($F25,Consejerias_1,MATCH(T$5,Consejerías!$D$9:$V$9,0),0),"")</f>
        <v>30</v>
      </c>
      <c r="U25" t="str">
        <f>+IFERROR(VLOOKUP($F25,Consejerias_1,MATCH(U$5,Consejerías!$D$9:$V$9,0),0),"")</f>
        <v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v>
      </c>
      <c r="V25" t="str">
        <f>+IFERROR(VLOOKUP($F25,Consejerias_1,MATCH(V$5,Consejerías!$D$9:$V$9,0),0),"")</f>
        <v>Monitorear y evaluar la estrategia de promocion y desarrollo de servicios tic</v>
      </c>
      <c r="W25" t="str">
        <f>+IFERROR(VLOOKUP($F25,Consejerias_1,MATCH(W$5,Consejerías!$D$9:$V$9,0),0),"")</f>
        <v>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
      <c r="X25" t="str">
        <f>+IFERROR(VLOOKUP($F25,Consejerias_1,MATCH(X$5,Consejerías!$D$9:$V$9,0),0),"")</f>
        <v>ENERO:  Plan de trabajo - Acompañamiento de articulación con las entidades del Distrito para integrarlas al ERP BogData-SAP de la SDH
FEBRERO: Informe mensual de Acompañamiento de articulación con las entidades del Distrito. MARZO:  Informe mensual de Acompañamiento de articulación con las entidades del Distrito. ABRIL:  Informe mensual de Acompañamiento de articulación con las entidades del Distrito. MAYO: Gestión Estrategía Implementación ERP: Informe mensual de Acompañamiento de articulación con las entidades del Distrito.</v>
      </c>
      <c r="Y25">
        <f>+IFERROR(IF(ISBLANK(VLOOKUP(CONCATENATE($F25,"_",Y$4),Consejerias_2,MATCH(Y$3,Consejerías!$F$21:$O$21,0),0)),"",VLOOKUP(CONCATENATE($F25,"_",Y$4),Consejerias_2,MATCH(Y$3,Consejerías!$F$21:$O$21,0),0)),"")</f>
        <v>0.39800000000000002</v>
      </c>
      <c r="Z25">
        <f>+IFERROR(IF(ISBLANK(VLOOKUP(CONCATENATE($F25,"_",Z$4),Consejerias_2,MATCH(Z$3,Consejerías!$F$21:$O$21,0),0)),"",VLOOKUP(CONCATENATE($F25,"_",Z$4),Consejerias_2,MATCH(Z$3,Consejerías!$F$21:$O$21,0),0)),"")</f>
        <v>0.39800000000000002</v>
      </c>
      <c r="AA25" t="str">
        <f>+IFERROR(IF(ISBLANK(VLOOKUP(CONCATENATE($F25,"_",AA$4),Consejerias_2,MATCH(AA$3,Consejerías!$F$21:$O$21,0),0)),"",VLOOKUP(CONCATENATE($F25,"_",AA$4),Consejerias_2,MATCH(AA$3,Consejerías!$F$21:$O$21,0),0)),"")</f>
        <v>Se elaboró el plan 2020 para la Gestión de apoyo a la Implementación del ERP Distrital BogData de la Secretaría Distrital de Hacienda en las demás entidades del Distrito.</v>
      </c>
      <c r="AB25" t="str">
        <f>+IFERROR(IF(ISBLANK(VLOOKUP(CONCATENATE($F25,"_",AB$4),Consejerias_2,MATCH(AB$3,Consejerías!$F$21:$O$21,0),0)),"",VLOOKUP(CONCATENATE($F25,"_",AB$4),Consejerias_2,MATCH(AB$3,Consejerías!$F$21:$O$21,0),0)),"")</f>
        <v>No se presentaron retrasos en el periodo</v>
      </c>
      <c r="AC25" t="str">
        <f>+IFERROR(IF(ISBLANK(VLOOKUP(CONCATENATE($F25,"_",AC$4),Consejerias_2,MATCH(AC$3,Consejerías!$F$21:$O$21,0),0)),"",VLOOKUP(CONCATENATE($F25,"_",AC$4),Consejerias_2,MATCH(AC$3,Consejerías!$F$21:$O$21,0),0)),"")</f>
        <v xml:space="preserve">Gestión Estrategía Implementación ERP:
Beneficios: 
Disponer de un plan que permita gestionar el apoyo de la implementación del ERP BogData basado en SAP de la Secretaría Distrital de Hacienda – SDH y </v>
      </c>
      <c r="AD25">
        <f>+IFERROR(IF(ISBLANK(VLOOKUP(CONCATENATE($F25,"_",AD$4),Consejerias_2,MATCH(AD$3,Consejerías!$F$21:$O$21,0),0)),"",VLOOKUP(CONCATENATE($F25,"_",AD$4),Consejerias_2,MATCH(AD$3,Consejerías!$F$21:$O$21,0),0)),"")</f>
        <v>0.39800000000000002</v>
      </c>
      <c r="AE25">
        <f>+IFERROR(IF(ISBLANK(VLOOKUP(CONCATENATE($F25,"_",AE$4),Consejerias_2,MATCH(AE$3,Consejerías!$F$21:$O$21,0),0)),"",VLOOKUP(CONCATENATE($F25,"_",AE$4),Consejerias_2,MATCH(AE$3,Consejerías!$F$21:$O$21,0),0)),"")</f>
        <v>0.79600000000000004</v>
      </c>
      <c r="AF25" t="str">
        <f>+IFERROR(IF(ISBLANK(VLOOKUP(CONCATENATE($F25,"_",AF$4),Consejerias_2,MATCH(AF$3,Consejerías!$F$21:$O$21,0),0)),"",VLOOKUP(CONCATENATE($F25,"_",AF$4),Consejerias_2,MATCH(AF$3,Consejerías!$F$21:$O$21,0),0)),"")</f>
        <v xml:space="preserve">Gestión Estrategía Implementación ERP: La Secretaría Distrital de Hacienda presentó el consolidado del inventario de Interoperabilidad con las Entidades Distritales y se validó con la alta Consejería Distrital de TIC, el cuadro del estado actual de las entidades distritales, con el fin de establecer avance en la integración de cada entidad al BOGDATA y se laboró el correspondiente Informe de Gestión del mes.
Se adelantaron reuniones con SDH y la ACDTIC, así como sesión plenaria con los miembros de la Comisión Distrital de Sistemas, entidades cabeza de sector y organismos del control del Distrito Capital, para mostrar el avance y coordinación acciones para la implementación del ERP en las entidades, Además, se adelantaron acciones de socialización con algunas entidades distritales (Secretarias de Gobierno, General, Jurídica y Veeduría) con el objeto de aclarar las dudas, retrasos y avances que se les ha presentado en el Proyecto BogData.  Y finalmente la Secretaría General adelanta el desarrollo de requerimientos para el reporte de Cuentas por pagar CXP nómina que sirva de modelo o piloto para otras Entidades Distritales.   Proyecto BogData. </v>
      </c>
      <c r="AG25" t="str">
        <f>+IFERROR(IF(ISBLANK(VLOOKUP(CONCATENATE($F25,"_",AG$4),Consejerias_2,MATCH(AG$3,Consejerías!$F$21:$O$21,0),0)),"",VLOOKUP(CONCATENATE($F25,"_",AG$4),Consejerias_2,MATCH(AG$3,Consejerías!$F$21:$O$21,0),0)),"")</f>
        <v>No se presentaron retrasos en el periodo</v>
      </c>
      <c r="AH25" t="str">
        <f>+IFERROR(IF(ISBLANK(VLOOKUP(CONCATENATE($F25,"_",AH$4),Consejerias_2,MATCH(AH$3,Consejerías!$F$21:$O$21,0),0)),"",VLOOKUP(CONCATENATE($F25,"_",AH$4),Consejerias_2,MATCH(AH$3,Consejerías!$F$21:$O$21,0),0)),"")</f>
        <v xml:space="preserve">Gestión Estrategía Implementación ERP:
Gestionar el apoyo de la implementación del ERP BogData basado en SAP de la Secretaría Distrital de Hacienda – SDH y facilitar la integración de las Entidades Distritales a dicha solución atendiendo los lineamientos y plantillas definidas por la SDH. </v>
      </c>
      <c r="AI25">
        <f>+IFERROR(IF(ISBLANK(VLOOKUP(CONCATENATE($F25,"_",AI$4),Consejerias_2,MATCH(AI$3,Consejerías!$F$21:$O$21,0),0)),"",VLOOKUP(CONCATENATE($F25,"_",AI$4),Consejerias_2,MATCH(AI$3,Consejerías!$F$21:$O$21,0),0)),"")</f>
        <v>0.39800000000000002</v>
      </c>
      <c r="AJ25">
        <f>+IFERROR(IF(ISBLANK(VLOOKUP(CONCATENATE($F25,"_",AJ$4),Consejerias_2,MATCH(AJ$3,Consejerías!$F$21:$O$21,0),0)),"",VLOOKUP(CONCATENATE($F25,"_",AJ$4),Consejerias_2,MATCH(AJ$3,Consejerías!$F$21:$O$21,0),0)),"")</f>
        <v>1.194</v>
      </c>
      <c r="AK25" t="str">
        <f>+IFERROR(IF(ISBLANK(VLOOKUP(CONCATENATE($F25,"_",AK$4),Consejerias_2,MATCH(AK$3,Consejerías!$F$21:$O$21,0),0)),"",VLOOKUP(CONCATENATE($F25,"_",AK$4),Consejerias_2,MATCH(AK$3,Consejerías!$F$21:$O$21,0),0)),"")</f>
        <v>Gestión Estrategía Implementación ERP:
La ACDTIC en coordinación con la SDH, realizaron el consolidado del listado de funcionarios de cada entidad a quienes se les dictará entrenamiento del ERP BOGDATA, cuentas de usuarios a las cuales se les asignará licencia de acceso SAP y se identificó el inventario de equipos PC e impresoras desde donde las entidades accederán vía Internet al BogData.
El equipo del Proyecto BogData de la SDH, con el apoyo de la Alta Consejería Distrital TIC, realizaron reuniones presenciales y virtuales con las entidades distritales que han enviado los archivos de Pago de Nómina, OP, CXP con el fin de validar la subida a Bogdata y las necesidades que se han presentado en relación con los extractores, de igual manera se realizaron reuniones con las entidades que a la fecha no han enviado ninguna información. Entidades reunidas: Personería de Bogotá, Secretarías de Seguridad, Hábitat, Mujer, Cultura, Instituto de Investigación Educativa y Desarrollo IDEP, Orqueta Filarmónica de Bogotá, Universidad Distrital, Instituto de Recreación y Deportes, Fundación Gilberto álzate Abendaño, UAE Bomberos. Servicio Civil. 
Se realizó el informe de Gestión de implementación de la Entidades al ERP BOGDATA con su cuadro de estado por entidades, UNIVERSO DE ENTIDADES : 88,  módulos a integrar (Presupuesto, Tesorería, Contabilidad y Terceros), en cuanto al avance que han realizado las entidades frente a las PLANTILLAS DE PRESUPUESTO: Total 5 entidades, avance = 14%. PLANTILLAS DE TESORERIA: Total 28 Entidades, Entidades que han enviado información=6, avance = 26%. PLANTILLAS EXTRACTORES (Reportes): total 9 Entiades (son las entidades que tenían convenio con SI Capital que manejaban el Export), entidades que han enviado información= 5, avance = 17%. MODULO DE CONTABLIDAD: Se realizará la instalación del agente SAP-BPC en los clientes 88 entidades, se realizarán pruebas con Planeación, DADEP, General y Catastro, se están resolviendo temas de conexión y MODULO DE TERCEROS: Se enviaron las plantillas de terceros a todas las entidades, cuando BogData esté en producción las entidades las envíen a la SDH - Dirección Distrital de Contabilidad con el fin de crearlos.</v>
      </c>
      <c r="AL25" t="str">
        <f>+IFERROR(IF(ISBLANK(VLOOKUP(CONCATENATE($F25,"_",AL$4),Consejerias_2,MATCH(AL$3,Consejerías!$F$21:$O$21,0),0)),"",VLOOKUP(CONCATENATE($F25,"_",AL$4),Consejerias_2,MATCH(AL$3,Consejerías!$F$21:$O$21,0),0)),"")</f>
        <v>No se presentaron retrasos en el periodo</v>
      </c>
      <c r="AM25" t="str">
        <f>+IFERROR(IF(ISBLANK(VLOOKUP(CONCATENATE($F25,"_",AM$4),Consejerias_2,MATCH(AM$3,Consejerías!$F$21:$O$21,0),0)),"",VLOOKUP(CONCATENATE($F25,"_",AM$4),Consejerias_2,MATCH(AM$3,Consejerías!$F$21:$O$21,0),0)),"")</f>
        <v xml:space="preserve">Gestión y promoción  Estrategia de Implementación ERP:
Gestionar el apoyo de la implementación del ERP BogData basado en SAP de la Secretaría Distrital de Hacienda – SDH y facilitar la integración de las Entidades Distritales a dicha solución atendiendo los lineamientos y plantillas definidas por la SDH. </v>
      </c>
      <c r="AN25">
        <f>+IFERROR(IF(ISBLANK(VLOOKUP(CONCATENATE($F25,"_",AN$4),Consejerias_2,MATCH(AN$3,Consejerías!$F$21:$O$21,0),0)),"",VLOOKUP(CONCATENATE($F25,"_",AN$4),Consejerias_2,MATCH(AN$3,Consejerías!$F$21:$O$21,0),0)),"")</f>
        <v>0.39800000000000002</v>
      </c>
      <c r="AO25">
        <f>+IFERROR(IF(ISBLANK(VLOOKUP(CONCATENATE($F25,"_",AO$4),Consejerias_2,MATCH(AO$3,Consejerías!$F$21:$O$21,0),0)),"",VLOOKUP(CONCATENATE($F25,"_",AO$4),Consejerias_2,MATCH(AO$3,Consejerías!$F$21:$O$21,0),0)),"")</f>
        <v>1.5920000000000001</v>
      </c>
      <c r="AP25" t="str">
        <f>+IFERROR(IF(ISBLANK(VLOOKUP(CONCATENATE($F25,"_",AP$4),Consejerias_2,MATCH(AP$3,Consejerías!$F$21:$O$21,0),0)),"",VLOOKUP(CONCATENATE($F25,"_",AP$4),Consejerias_2,MATCH(AP$3,Consejerías!$F$21:$O$21,0),0)),"")</f>
        <v>Gestión estratégica de Implementación del ERP: Se logró la elaboración del informe de gestión del Convenio 4130000-642 de 2017 donde se registran las acciones adelantadas por la SDH y la SGRAL, para articular acciones que permitan a las entidades distritales la integración con el ERP que implementa la SDH, informe remitido a la Dirección de Contratación, con radicado 3-2020-11201.
La ACDTIC y la SDH, realizaron reuniones virtuales con las entidades  a las que se les presentó el proyecto ERP BogData, dando a conocer cómo se deben interconectar con los módulos de Presupuesto, Tesorería, Consolidados de Contabilidad y Terceros, explica de manera general la parte presupuestal, el módulo de Tesorería deberán usar plantillas y las operaciones que se debe tener en cuenta para su equivalencia en SAP, según procedimiento publicado en la página web de la SDH en la pestaña BogData, http://www.shd.gov.co/shd/bogdata. Las entidades participantes:  Secretaría Jurídica Distrital y Secretaría de la Mujer. De otra parte, mediante correo electrónico se ha requerido a las entidades el avance del desarrollo de archivos planos según las Plantillas de CXP (Proveedores – Nómina) establecidas por la SDH y se mantiene actualizado el cuadro Excel con el avance de estado de entidades frente a la Integración BogData.</v>
      </c>
      <c r="AQ25" t="str">
        <f>+IFERROR(IF(ISBLANK(VLOOKUP(CONCATENATE($F25,"_",AQ$4),Consejerias_2,MATCH(AQ$3,Consejerías!$F$21:$O$21,0),0)),"",VLOOKUP(CONCATENATE($F25,"_",AQ$4),Consejerias_2,MATCH(AQ$3,Consejerías!$F$21:$O$21,0),0)),"")</f>
        <v>No se presentaron retrasos en el periodo</v>
      </c>
      <c r="AR25" t="str">
        <f>+IFERROR(IF(ISBLANK(VLOOKUP(CONCATENATE($F25,"_",AR$4),Consejerias_2,MATCH(AR$3,Consejerías!$F$21:$O$21,0),0)),"",VLOOKUP(CONCATENATE($F25,"_",AR$4),Consejerias_2,MATCH(AR$3,Consejerías!$F$21:$O$21,0),0)),"")</f>
        <v>Gestión y promoción  Estrategia de Implementación ERP:
Gestionar el apoyo de la implementación del ERP BogData basado en SAP de la SDH y facilitar la integración de las Entidades Distritales a dicha solución atendiendo los lineamientos y plantillas definidas por la SDH. Asimismo, se ha logrado mantener actualizado el avance de las diferentes entidades para poder contar con información oportuna y de calidad que permita reaccionar eficazmente ante cualquier eventualidad.</v>
      </c>
      <c r="AS25">
        <f>+IFERROR(IF(ISBLANK(VLOOKUP(CONCATENATE($F25,"_",AS$4),Consejerias_2,MATCH(AS$3,Consejerías!$F$21:$O$21,0),0)),"",VLOOKUP(CONCATENATE($F25,"_",AS$4),Consejerias_2,MATCH(AS$3,Consejerías!$F$21:$O$21,0),0)),"")</f>
        <v>0.39800000000000002</v>
      </c>
      <c r="AT25">
        <f>+IFERROR(IF(ISBLANK(VLOOKUP(CONCATENATE($F25,"_",AT$4),Consejerias_2,MATCH(AT$3,Consejerías!$F$21:$O$21,0),0)),"",VLOOKUP(CONCATENATE($F25,"_",AT$4),Consejerias_2,MATCH(AT$3,Consejerías!$F$21:$O$21,0),0)),"")</f>
        <v>1.99</v>
      </c>
      <c r="AU25" t="str">
        <f>+IFERROR(IF(ISBLANK(VLOOKUP(CONCATENATE($F25,"_",AU$4),Consejerias_2,MATCH(AU$3,Consejerías!$F$21:$O$21,0),0)),"",VLOOKUP(CONCATENATE($F25,"_",AU$4),Consejerias_2,MATCH(AU$3,Consejerías!$F$21:$O$21,0),0)),"")</f>
        <v>Gestión estratégica de Implementación del ERP: Durante el periodo los Supervisores de los Convenios 4130000-642 y 4130000-663 de 2017 validaron las obligaciones específicas de los convenios, con sus avances y actividades desarrolladas, para ello se elaboraron los informes de gestión  por cada convenio y remitidos a la Dirección de Contratación con radicados 3-2020-11200 Convenio 642 de 2017 y 3-2020-11202 Convenio 663 de 2017.
La SDH informó que la fecha de salida en vivo es el 6 de julio de 2020, por ello a inicio de junio se enviará un comunicado por parte del Secretario General de la SDH a las entidades, para que las entidades se preparen oportunamente y retomen la logística requerida.  
La ACDTIC en coordinación con la SDH, ha reiterado desde el correo institucional de la Consejería, a los directores Corporativos de las entidades que no lo han hecho, la solicitud de remitir a la SDH el listado de  funcionarios de cada entidad a quienes se les dictará entrenamiento del ERP BOGDATA y asignación de la cuenta de usuario a las cuales se les asignará licencia de acceso SAP, permitiendo actualizar dicho inventario de recurso humano y del inventario de equipos PC e impresoras desde donde las entidades accederán vía Internet a BogData. 
El equipo del Proyecto BogData de la SDH, con el apoyo de la Consejería TIC, realizaron reuniones virtuales con las entidades distritales impartiendo instrucciones y resolviendo dudas para el diligenciamiento de los archivos, según plantillas, para la interoperabilidad de las cuentas por pagar Nómina, Ordenes de Pago, con el fin de validar la subida al ERP BogData, con las siguientes entidades: Secretaría Distrital de Integración Social, UAE Bomberos, Instituto para la Investigación Educativa y el Desarrollo Pedagógico IDEP, Instituto para la Economía Social IPES, Instituto Distrital de Protección y Bienestar Animal, Secretaría de Gobierno y Jardín Botánico y el  Instituto Distrital de Recreación y Deporte IDRD. De igual manera, con el equipo de la SDH y la Consejería TIC se actualizó el consolidado del cuadro Excel con el avance de estado de entidades frente a la Integración BogData.</v>
      </c>
      <c r="AV25" t="str">
        <f>+IFERROR(IF(ISBLANK(VLOOKUP(CONCATENATE($F25,"_",AV$4),Consejerias_2,MATCH(AV$3,Consejerías!$F$21:$O$21,0),0)),"",VLOOKUP(CONCATENATE($F25,"_",AV$4),Consejerias_2,MATCH(AV$3,Consejerías!$F$21:$O$21,0),0)),"")</f>
        <v>No se presentaron retrasos en el periodo</v>
      </c>
      <c r="AW25" t="str">
        <f>+IFERROR(IF(ISBLANK(VLOOKUP(CONCATENATE($F25,"_",AW$4),Consejerias_2,MATCH(AW$3,Consejerías!$F$21:$O$21,0),0)),"",VLOOKUP(CONCATENATE($F25,"_",AW$4),Consejerias_2,MATCH(AW$3,Consejerías!$F$21:$O$21,0),0)),"")</f>
        <v>Gestión y promoción  Estrategia de Implementación ERP:
Se articulan acciones en conjunto con la SDH, con el fin de integrar el ERP BogData de la SDH a los sistemas de las entidades distritales que gestionan la información administrativa y financiera de tal manera que todas las acciones realizadas permitan la salida en vivo el 6 de julio del presente como se mencionó previamente. Asimismo, se ha logrado mantener actualizado el avance de las diferentes entidades para poder contar con información oportuna y de calidad que permita reaccionar eficazmente ante cualquier eventualidad.</v>
      </c>
      <c r="AX25" t="str">
        <f>+IFERROR(IF(ISBLANK(VLOOKUP(CONCATENATE($F25,"_",AX$4),Consejerias_2,MATCH(AX$3,Consejerías!$F$21:$O$21,0),0)),"",VLOOKUP(CONCATENATE($F25,"_",AX$4),Consejerias_2,MATCH(AX$3,Consejerías!$F$21:$O$21,0),0)),"")</f>
        <v/>
      </c>
      <c r="AY25" t="str">
        <f>+IFERROR(IF(ISBLANK(VLOOKUP(CONCATENATE($F25,"_",AY$4),Consejerias_2,MATCH(AY$3,Consejerías!$F$21:$O$21,0),0)),"",VLOOKUP(CONCATENATE($F25,"_",AY$4),Consejerias_2,MATCH(AY$3,Consejerías!$F$21:$O$21,0),0)),"")</f>
        <v/>
      </c>
      <c r="AZ25" t="str">
        <f>+IFERROR(IF(ISBLANK(VLOOKUP(CONCATENATE($F25,"_",AZ$4),Consejerias_2,MATCH(AZ$3,Consejerías!$F$21:$O$21,0),0)),"",VLOOKUP(CONCATENATE($F25,"_",AZ$4),Consejerias_2,MATCH(AZ$3,Consejerías!$F$21:$O$21,0),0)),"")</f>
        <v/>
      </c>
      <c r="BA25" t="str">
        <f>+IFERROR(IF(ISBLANK(VLOOKUP(CONCATENATE($F25,"_",BA$4),Consejerias_2,MATCH(BA$3,Consejerías!$F$21:$O$21,0),0)),"",VLOOKUP(CONCATENATE($F25,"_",BA$4),Consejerias_2,MATCH(BA$3,Consejerías!$F$21:$O$21,0),0)),"")</f>
        <v/>
      </c>
      <c r="BB25" t="str">
        <f>+IFERROR(IF(ISBLANK(VLOOKUP(CONCATENATE($F25,"_",BB$4),Consejerias_2,MATCH(BB$3,Consejerías!$F$21:$O$21,0),0)),"",VLOOKUP(CONCATENATE($F25,"_",BB$4),Consejerias_2,MATCH(BB$3,Consejerías!$F$21:$O$21,0),0)),"")</f>
        <v/>
      </c>
      <c r="BC25">
        <f t="shared" si="10"/>
        <v>1.9900000000000002</v>
      </c>
      <c r="BD25">
        <f t="shared" si="10"/>
        <v>5.97</v>
      </c>
      <c r="BE25" s="129" t="str">
        <f>+IFERROR(IF(ISBLANK(VLOOKUP(CONCATENATE($F25,"_",BE$4),P1125_4,MATCH(BE$3,PAAC!$E$19:$M$19,0),0)),"",VLOOKUP(CONCATENATE($F25,"_",BE$4),P1125_4,MATCH(BE$3,PAAC!$E$19:$M$19,0),0)),"")</f>
        <v/>
      </c>
      <c r="BF25" s="129" t="str">
        <f>+IFERROR(IF(ISBLANK(VLOOKUP(CONCATENATE($F25,"_",BF$4),P1125_4,MATCH(BF$3,PAAC!$E$19:$M$19,0),0)),"",VLOOKUP(CONCATENATE($F25,"_",BF$4),P1125_4,MATCH(BF$3,PAAC!$E$19:$M$19,0),0)),"")</f>
        <v/>
      </c>
      <c r="BG25" s="129" t="str">
        <f>+IFERROR(IF(ISBLANK(VLOOKUP(CONCATENATE($F25,"_",BG$4),P1125_4,MATCH(BG$3,PAAC!$E$19:$M$19,0),0)),"",VLOOKUP(CONCATENATE($F25,"_",BG$4),P1125_4,MATCH(BG$3,PAAC!$E$19:$M$19,0),0)),"")</f>
        <v/>
      </c>
      <c r="BH25" s="129" t="str">
        <f>+IFERROR(IF(ISBLANK(VLOOKUP(CONCATENATE($F25,"_",BH$4),P1125_4,MATCH(BH$3,PAAC!$E$19:$M$19,0),0)),"",VLOOKUP(CONCATENATE($F25,"_",BH$4),P1125_4,MATCH(BH$3,PAAC!$E$19:$M$19,0),0)),"")</f>
        <v/>
      </c>
      <c r="BI25" s="129" t="str">
        <f>+IFERROR(IF(ISBLANK(VLOOKUP(CONCATENATE($F25,"_",BI$4),P1125_4,MATCH(BI$3,PAAC!$E$19:$M$19,0),0)),"",VLOOKUP(CONCATENATE($F25,"_",BI$4),P1125_4,MATCH(BI$3,PAAC!$E$19:$M$19,0),0)),"")</f>
        <v/>
      </c>
      <c r="BJ25" s="129" t="str">
        <f>+IFERROR(IF(ISBLANK(VLOOKUP(CONCATENATE($F25,"_",BJ$4),P1125_4,MATCH(BJ$3,PAAC!$E$19:$M$19,0),0)),"",VLOOKUP(CONCATENATE($F25,"_",BJ$4),P1125_4,MATCH(BJ$3,PAAC!$E$19:$M$19,0),0)),"")</f>
        <v/>
      </c>
      <c r="BK25" s="129" t="str">
        <f>+IFERROR(IF(ISBLANK(VLOOKUP(CONCATENATE($F25,"_",BK$4),P1125_4,MATCH(BK$3,PAAC!$E$19:$M$19,0),0)),"",VLOOKUP(CONCATENATE($F25,"_",BK$4),P1125_4,MATCH(BK$3,PAAC!$E$19:$M$19,0),0)),"")</f>
        <v/>
      </c>
      <c r="BL25" s="129" t="str">
        <f>+IFERROR(IF(ISBLANK(VLOOKUP(CONCATENATE($F25,"_",BL$4),P1125_4,MATCH(BL$3,PAAC!$E$19:$M$19,0),0)),"",VLOOKUP(CONCATENATE($F25,"_",BL$4),P1125_4,MATCH(BL$3,PAAC!$E$19:$M$19,0),0)),"")</f>
        <v/>
      </c>
      <c r="BM25" s="129" t="str">
        <f>+IFERROR(IF(ISBLANK(VLOOKUP(CONCATENATE($F25,"_",BM$4),P1125_4,MATCH(BM$3,PAAC!$E$19:$M$19,0),0)),"",VLOOKUP(CONCATENATE($F25,"_",BM$4),P1125_4,MATCH(BM$3,PAAC!$E$19:$M$19,0),0)),"")</f>
        <v/>
      </c>
      <c r="BN25" s="129" t="str">
        <f>+IFERROR(IF(ISBLANK(VLOOKUP(CONCATENATE($F25,"_",BN$4),P1125_4,MATCH(BN$3,PAAC!$E$19:$M$19,0),0)),"",VLOOKUP(CONCATENATE($F25,"_",BN$4),P1125_4,MATCH(BN$3,PAAC!$E$19:$M$19,0),0)),"")</f>
        <v/>
      </c>
      <c r="BO25" s="129" t="str">
        <f>+IFERROR(IF(ISBLANK(VLOOKUP(CONCATENATE($F25,"_",BO$4),P1125_4,MATCH(BO$3,PAAC!$E$19:$M$19,0),0)),"",VLOOKUP(CONCATENATE($F25,"_",BO$4),P1125_4,MATCH(BO$3,PAAC!$E$19:$M$19,0),0)),"")</f>
        <v/>
      </c>
      <c r="BP25" s="129" t="str">
        <f>+IFERROR(IF(ISBLANK(VLOOKUP(CONCATENATE($F25,"_",BP$4),P1125_4,MATCH(BP$3,PAAC!$E$19:$M$19,0),0)),"",VLOOKUP(CONCATENATE($F25,"_",BP$4),P1125_4,MATCH(BP$3,PAAC!$E$19:$M$19,0),0)),"")</f>
        <v/>
      </c>
      <c r="BQ25" s="129" t="str">
        <f>+IFERROR(IF(ISBLANK(VLOOKUP(CONCATENATE($F25,"_",BQ$4),P1125_4,MATCH(BQ$3,PAAC!$E$19:$M$19,0),0)),"",VLOOKUP(CONCATENATE($F25,"_",BQ$4),P1125_4,MATCH(BQ$3,PAAC!$E$19:$M$19,0),0)),"")</f>
        <v/>
      </c>
      <c r="BR25" s="129" t="str">
        <f>+IFERROR(IF(ISBLANK(VLOOKUP(CONCATENATE($F25,"_",BR$4),P1125_4,MATCH(BR$3,PAAC!$E$19:$M$19,0),0)),"",VLOOKUP(CONCATENATE($F25,"_",BR$4),P1125_4,MATCH(BR$3,PAAC!$E$19:$M$19,0),0)),"")</f>
        <v/>
      </c>
      <c r="BS25" s="129" t="str">
        <f>+IFERROR(IF(ISBLANK(VLOOKUP(CONCATENATE($F25,"_",BS$4),P1125_4,MATCH(BS$3,PAAC!$E$19:$M$19,0),0)),"",VLOOKUP(CONCATENATE($F25,"_",BS$4),P1125_4,MATCH(BS$3,PAAC!$E$19:$M$19,0),0)),"")</f>
        <v/>
      </c>
      <c r="BT25" s="129" t="str">
        <f>+IFERROR(IF(ISBLANK(VLOOKUP(CONCATENATE($F25,"_",BT$4),P1125_4,MATCH(BT$3,PAAC!$E$19:$M$19,0),0)),"",VLOOKUP(CONCATENATE($F25,"_",BT$4),P1125_4,MATCH(BT$3,PAAC!$E$19:$M$19,0),0)),"")</f>
        <v/>
      </c>
      <c r="BU25" s="129" t="str">
        <f>+IFERROR(IF(ISBLANK(VLOOKUP(CONCATENATE($F25,"_",BU$4),P1125_4,MATCH(BU$3,PAAC!$E$19:$M$19,0),0)),"",VLOOKUP(CONCATENATE($F25,"_",BU$4),P1125_4,MATCH(BU$3,PAAC!$E$19:$M$19,0),0)),"")</f>
        <v/>
      </c>
      <c r="BV25" s="129" t="str">
        <f>+IFERROR(IF(ISBLANK(VLOOKUP(CONCATENATE($F25,"_",BV$4),P1125_4,MATCH(BV$3,PAAC!$E$19:$M$19,0),0)),"",VLOOKUP(CONCATENATE($F25,"_",BV$4),P1125_4,MATCH(BV$3,PAAC!$E$19:$M$19,0),0)),"")</f>
        <v/>
      </c>
      <c r="BW25" s="129" t="str">
        <f>+IFERROR(IF(ISBLANK(VLOOKUP(CONCATENATE($F25,"_",BW$4),P1125_4,MATCH(BW$3,PAAC!$E$19:$M$19,0),0)),"",VLOOKUP(CONCATENATE($F25,"_",BW$4),P1125_4,MATCH(BW$3,PAAC!$E$19:$M$19,0),0)),"")</f>
        <v/>
      </c>
      <c r="BX25" s="129" t="str">
        <f>+IFERROR(IF(ISBLANK(VLOOKUP(CONCATENATE($F25,"_",BX$4),P1125_4,MATCH(BX$3,PAAC!$E$19:$M$19,0),0)),"",VLOOKUP(CONCATENATE($F25,"_",BX$4),P1125_4,MATCH(BX$3,PAAC!$E$19:$M$19,0),0)),"")</f>
        <v/>
      </c>
      <c r="BY25" s="129" t="str">
        <f>+IFERROR(IF(ISBLANK(VLOOKUP(CONCATENATE($F25,"_",BY$4),P1125_4,MATCH(BY$3,PAAC!$E$19:$M$19,0),0)),"",VLOOKUP(CONCATENATE($F25,"_",BY$4),P1125_4,MATCH(BY$3,PAAC!$E$19:$M$19,0),0)),"")</f>
        <v/>
      </c>
      <c r="BZ25" s="129" t="str">
        <f>+IFERROR(IF(ISBLANK(VLOOKUP(CONCATENATE($F25,"_",BZ$4),P1125_4,MATCH(BZ$3,PAAC!$E$19:$M$19,0),0)),"",VLOOKUP(CONCATENATE($F25,"_",BZ$4),P1125_4,MATCH(BZ$3,PAAC!$E$19:$M$19,0),0)),"")</f>
        <v/>
      </c>
      <c r="CA25" s="129" t="str">
        <f>+IFERROR(IF(ISBLANK(VLOOKUP(CONCATENATE($F25,"_",CA$4),P1125_4,MATCH(CA$3,PAAC!$E$19:$M$19,0),0)),"",VLOOKUP(CONCATENATE($F25,"_",CA$4),P1125_4,MATCH(CA$3,PAAC!$E$19:$M$19,0),0)),"")</f>
        <v/>
      </c>
      <c r="CB25" s="129" t="str">
        <f>+IFERROR(IF(ISBLANK(VLOOKUP(CONCATENATE($F25,"_",CB$4),P1125_4,MATCH(CB$3,PAAC!$E$19:$M$19,0),0)),"",VLOOKUP(CONCATENATE($F25,"_",CB$4),P1125_4,MATCH(CB$3,PAAC!$E$19:$M$19,0),0)),"")</f>
        <v/>
      </c>
      <c r="CC25" s="129" t="str">
        <f>+IFERROR(IF(ISBLANK(VLOOKUP(CONCATENATE($F25,"_",CC$4),P1125_4,MATCH(CC$3,PAAC!$E$19:$M$19,0),0)),"",VLOOKUP(CONCATENATE($F25,"_",CC$4),P1125_4,MATCH(CC$3,PAAC!$E$19:$M$19,0),0)),"")</f>
        <v/>
      </c>
      <c r="CD25" s="129" t="str">
        <f t="shared" si="11"/>
        <v/>
      </c>
      <c r="CE25" s="129" t="str">
        <f t="shared" si="3"/>
        <v/>
      </c>
      <c r="CF25" s="129" t="str">
        <f t="shared" si="4"/>
        <v/>
      </c>
      <c r="CG25" s="129" t="str">
        <f t="shared" si="5"/>
        <v/>
      </c>
      <c r="CH25" s="129" t="str">
        <f t="shared" si="6"/>
        <v/>
      </c>
      <c r="CI25">
        <f t="shared" ref="CI25:CR32" si="22">+VLOOKUP($F25,Consejerias_R,CI$4,0)</f>
        <v>0</v>
      </c>
      <c r="CJ25">
        <f t="shared" si="22"/>
        <v>0</v>
      </c>
      <c r="CK25">
        <f t="shared" si="22"/>
        <v>0</v>
      </c>
      <c r="CL25">
        <f t="shared" si="22"/>
        <v>0</v>
      </c>
      <c r="CM25">
        <f t="shared" si="22"/>
        <v>0</v>
      </c>
      <c r="CN25">
        <f t="shared" si="22"/>
        <v>0</v>
      </c>
      <c r="CO25">
        <f t="shared" si="22"/>
        <v>0</v>
      </c>
      <c r="CP25">
        <f t="shared" si="22"/>
        <v>0</v>
      </c>
      <c r="CQ25">
        <f t="shared" si="22"/>
        <v>0</v>
      </c>
      <c r="CR25">
        <f t="shared" si="22"/>
        <v>0</v>
      </c>
      <c r="CS25">
        <f t="shared" ref="CS25:DB32" si="23">+VLOOKUP($F25,Consejerias_R,CS$4,0)</f>
        <v>0</v>
      </c>
      <c r="CT25">
        <f t="shared" si="23"/>
        <v>0</v>
      </c>
      <c r="CU25">
        <f t="shared" si="23"/>
        <v>0</v>
      </c>
      <c r="CV25">
        <f t="shared" si="23"/>
        <v>0</v>
      </c>
      <c r="CW25">
        <f t="shared" si="23"/>
        <v>0</v>
      </c>
      <c r="CX25">
        <f t="shared" si="23"/>
        <v>0</v>
      </c>
      <c r="CY25">
        <f t="shared" si="23"/>
        <v>0</v>
      </c>
      <c r="CZ25">
        <f t="shared" si="23"/>
        <v>0</v>
      </c>
      <c r="DA25">
        <f t="shared" si="23"/>
        <v>0</v>
      </c>
      <c r="DB25">
        <f t="shared" si="23"/>
        <v>0</v>
      </c>
      <c r="DC25">
        <f t="shared" ref="DC25:DL32" si="24">+VLOOKUP($F25,Consejerias_R,DC$4,0)</f>
        <v>0</v>
      </c>
      <c r="DD25">
        <f t="shared" si="24"/>
        <v>0</v>
      </c>
      <c r="DE25" t="e">
        <f t="shared" si="24"/>
        <v>#REF!</v>
      </c>
      <c r="DF25" t="e">
        <f t="shared" si="24"/>
        <v>#REF!</v>
      </c>
      <c r="DG25" t="e">
        <f t="shared" si="24"/>
        <v>#REF!</v>
      </c>
      <c r="DH25" t="e">
        <f t="shared" si="24"/>
        <v>#REF!</v>
      </c>
      <c r="DI25" t="e">
        <f t="shared" si="24"/>
        <v>#REF!</v>
      </c>
      <c r="DJ25" t="e">
        <f t="shared" si="24"/>
        <v>#REF!</v>
      </c>
      <c r="DK25" t="e">
        <f t="shared" si="24"/>
        <v>#REF!</v>
      </c>
      <c r="DL25" t="e">
        <f t="shared" si="24"/>
        <v>#REF!</v>
      </c>
      <c r="DM25" t="e">
        <f t="shared" ref="DM25:DX32" si="25">+VLOOKUP($F25,Consejerias_R,DM$4,0)</f>
        <v>#REF!</v>
      </c>
      <c r="DN25" t="e">
        <f t="shared" si="25"/>
        <v>#REF!</v>
      </c>
      <c r="DO25" t="e">
        <f t="shared" si="25"/>
        <v>#REF!</v>
      </c>
      <c r="DP25" t="e">
        <f t="shared" si="25"/>
        <v>#REF!</v>
      </c>
      <c r="DQ25" t="e">
        <f t="shared" si="25"/>
        <v>#REF!</v>
      </c>
      <c r="DR25" t="e">
        <f t="shared" si="25"/>
        <v>#REF!</v>
      </c>
      <c r="DS25" t="e">
        <f t="shared" si="25"/>
        <v>#REF!</v>
      </c>
      <c r="DT25" t="e">
        <f t="shared" si="25"/>
        <v>#REF!</v>
      </c>
      <c r="DU25" t="e">
        <f t="shared" si="25"/>
        <v>#REF!</v>
      </c>
      <c r="DV25" t="e">
        <f t="shared" si="25"/>
        <v>#REF!</v>
      </c>
      <c r="DW25" t="e">
        <f t="shared" si="25"/>
        <v>#REF!</v>
      </c>
      <c r="DX25" t="e">
        <f t="shared" si="25"/>
        <v>#REF!</v>
      </c>
    </row>
    <row r="26" spans="1:128" x14ac:dyDescent="0.3">
      <c r="A26" s="423" t="str">
        <f t="shared" ref="A26" si="26">+F26</f>
        <v>184M</v>
      </c>
      <c r="B26" t="str">
        <f t="shared" ref="B26" si="27">+C26&amp;"_"&amp;D26</f>
        <v>2_Oficina Alta Consejería Distrital de Tecnologías de Información y Comunicaciones - TIC</v>
      </c>
      <c r="C26">
        <f t="shared" si="8"/>
        <v>2</v>
      </c>
      <c r="D26" t="str">
        <f t="shared" si="0"/>
        <v>Oficina Alta Consejería Distrital de Tecnologías de Información y Comunicaciones - TIC</v>
      </c>
      <c r="E26" t="str">
        <f t="shared" ref="E26" si="28">+VLOOKUP(D26,responsables,8,0)</f>
        <v>ati</v>
      </c>
      <c r="F26" s="208" t="str">
        <f>Consejerías!D11</f>
        <v>184M</v>
      </c>
      <c r="G26" t="str">
        <f t="shared" si="2"/>
        <v>Creciente</v>
      </c>
      <c r="H26" t="str">
        <f t="shared" si="2"/>
        <v>Número</v>
      </c>
      <c r="I26" t="str">
        <f t="shared" si="2"/>
        <v>No Disponible / No Aplica</v>
      </c>
      <c r="J26">
        <f t="shared" si="2"/>
        <v>1000</v>
      </c>
      <c r="K26" t="str">
        <f>+IFERROR(VLOOKUP($F26,Consejerias_1,MATCH(K$5,Consejerías!$D$9:$V$9,0),0),"")</f>
        <v>Suma</v>
      </c>
      <c r="L26">
        <f>+IFERROR(VLOOKUP($F26,Consejerias_1,MATCH(L$5,Consejerías!$D$9:$V$9,0),0),"")</f>
        <v>16</v>
      </c>
      <c r="M26">
        <f t="shared" ref="M26" si="29">+IFERROR(SUM(N26:P26),"")</f>
        <v>8</v>
      </c>
      <c r="N26">
        <f>+IFERROR(VLOOKUP($F26,Consejerias_1,MATCH(N$5,Consejerías!$D$9:$V$9,0),0),"")</f>
        <v>0</v>
      </c>
      <c r="O26">
        <f>+IFERROR(VLOOKUP($F26,Consejerias_1,MATCH(O$5,Consejerías!$D$9:$V$9,0),0),"")</f>
        <v>0</v>
      </c>
      <c r="P26">
        <f>+IFERROR(VLOOKUP($F26,Consejerias_1,MATCH(P$5,Consejerías!$D$9:$V$9,0),0),"")</f>
        <v>8</v>
      </c>
      <c r="Q26">
        <f>+IFERROR(VLOOKUP($F26,Consejerias_1,MATCH(Q$5,Consejerías!$D$9:$V$9,0),0),"")</f>
        <v>0</v>
      </c>
      <c r="R26">
        <f>+IFERROR(VLOOKUP($F26,Consejerias_1,MATCH(R$5,Consejerías!$D$9:$V$9,0),0),"")</f>
        <v>0</v>
      </c>
      <c r="S26">
        <f>+IFERROR(VLOOKUP($F26,Consejerias_1,MATCH(S$5,Consejerías!$D$9:$V$9,0),0),"")</f>
        <v>8</v>
      </c>
      <c r="T26">
        <f>+IFERROR(VLOOKUP($F26,Consejerias_1,MATCH(T$5,Consejerías!$D$9:$V$9,0),0),"")</f>
        <v>69</v>
      </c>
      <c r="U26" t="str">
        <f>+IFERROR(VLOOKUP($F26,Consejerias_1,MATCH(U$5,Consejerías!$D$9:$V$9,0),0),"")</f>
        <v xml:space="preserve">Este indicador se encarga de la medición de la cantidad de datasets publicados en el portal de datos abiertos de Bogotá datosabiertos.bogota.gov.co, esta medición se realiza basados en las ordenanzas que estipula la Ley 1712 del 6 de marzo de 2014 </v>
      </c>
      <c r="V26" t="str">
        <f>+IFERROR(VLOOKUP($F26,Consejerias_1,MATCH(V$5,Consejerías!$D$9:$V$9,0),0),"")</f>
        <v>Monitorear y evaluar la estrategia de promocion y desarrollo de servicios tic</v>
      </c>
      <c r="W26" t="str">
        <f>+IFERROR(VLOOKUP($F26,Consejerias_1,MATCH(W$5,Consejerías!$D$9:$V$9,0),0),"")</f>
        <v>Datos Abiertos: Generar emprendimiento, innovación, gobierno abierto y cumplimiento de la política de transparencia por parte de las entidades distritales.</v>
      </c>
      <c r="X26" t="str">
        <f>+IFERROR(VLOOKUP($F26,Consejerias_1,MATCH(X$5,Consejerías!$D$9:$V$9,0),0),"")</f>
        <v>"Marzo: Informe datos abiertos
Junio: Informe datos abiertos
Página: https://datosabiertos.bogota.gov.co/"</v>
      </c>
      <c r="Y26" t="str">
        <f>+IFERROR(IF(ISBLANK(VLOOKUP(CONCATENATE($F26,"_",Y$4),Consejerias_2,MATCH(Y$3,Consejerías!$F$21:$O$21,0),0)),"",VLOOKUP(CONCATENATE($F26,"_",Y$4),Consejerias_2,MATCH(Y$3,Consejerías!$F$21:$O$21,0),0)),"")</f>
        <v/>
      </c>
      <c r="Z26" t="str">
        <f>+IFERROR(IF(ISBLANK(VLOOKUP(CONCATENATE($F26,"_",Z$4),Consejerias_2,MATCH(Z$3,Consejerías!$F$21:$O$21,0),0)),"",VLOOKUP(CONCATENATE($F26,"_",Z$4),Consejerias_2,MATCH(Z$3,Consejerías!$F$21:$O$21,0),0)),"")</f>
        <v/>
      </c>
      <c r="AA26" t="str">
        <f>+IFERROR(IF(ISBLANK(VLOOKUP(CONCATENATE($F26,"_",AA$4),Consejerias_2,MATCH(AA$3,Consejerías!$F$21:$O$21,0),0)),"",VLOOKUP(CONCATENATE($F26,"_",AA$4),Consejerias_2,MATCH(AA$3,Consejerías!$F$21:$O$21,0),0)),"")</f>
        <v/>
      </c>
      <c r="AB26" t="str">
        <f>+IFERROR(IF(ISBLANK(VLOOKUP(CONCATENATE($F26,"_",AB$4),Consejerias_2,MATCH(AB$3,Consejerías!$F$21:$O$21,0),0)),"",VLOOKUP(CONCATENATE($F26,"_",AB$4),Consejerias_2,MATCH(AB$3,Consejerías!$F$21:$O$21,0),0)),"")</f>
        <v/>
      </c>
      <c r="AC26" t="str">
        <f>+IFERROR(IF(ISBLANK(VLOOKUP(CONCATENATE($F26,"_",AC$4),Consejerias_2,MATCH(AC$3,Consejerías!$F$21:$O$21,0),0)),"",VLOOKUP(CONCATENATE($F26,"_",AC$4),Consejerias_2,MATCH(AC$3,Consejerías!$F$21:$O$21,0),0)),"")</f>
        <v/>
      </c>
      <c r="AD26" t="str">
        <f>+IFERROR(IF(ISBLANK(VLOOKUP(CONCATENATE($F26,"_",AD$4),Consejerias_2,MATCH(AD$3,Consejerías!$F$21:$O$21,0),0)),"",VLOOKUP(CONCATENATE($F26,"_",AD$4),Consejerias_2,MATCH(AD$3,Consejerías!$F$21:$O$21,0),0)),"")</f>
        <v/>
      </c>
      <c r="AE26" t="str">
        <f>+IFERROR(IF(ISBLANK(VLOOKUP(CONCATENATE($F26,"_",AE$4),Consejerias_2,MATCH(AE$3,Consejerías!$F$21:$O$21,0),0)),"",VLOOKUP(CONCATENATE($F26,"_",AE$4),Consejerias_2,MATCH(AE$3,Consejerías!$F$21:$O$21,0),0)),"")</f>
        <v/>
      </c>
      <c r="AF26" t="str">
        <f>+IFERROR(IF(ISBLANK(VLOOKUP(CONCATENATE($F26,"_",AF$4),Consejerias_2,MATCH(AF$3,Consejerías!$F$21:$O$21,0),0)),"",VLOOKUP(CONCATENATE($F26,"_",AF$4),Consejerias_2,MATCH(AF$3,Consejerías!$F$21:$O$21,0),0)),"")</f>
        <v/>
      </c>
      <c r="AG26" t="str">
        <f>+IFERROR(IF(ISBLANK(VLOOKUP(CONCATENATE($F26,"_",AG$4),Consejerias_2,MATCH(AG$3,Consejerías!$F$21:$O$21,0),0)),"",VLOOKUP(CONCATENATE($F26,"_",AG$4),Consejerias_2,MATCH(AG$3,Consejerías!$F$21:$O$21,0),0)),"")</f>
        <v/>
      </c>
      <c r="AH26" t="str">
        <f>+IFERROR(IF(ISBLANK(VLOOKUP(CONCATENATE($F26,"_",AH$4),Consejerias_2,MATCH(AH$3,Consejerías!$F$21:$O$21,0),0)),"",VLOOKUP(CONCATENATE($F26,"_",AH$4),Consejerias_2,MATCH(AH$3,Consejerías!$F$21:$O$21,0),0)),"")</f>
        <v/>
      </c>
      <c r="AI26">
        <f>+IFERROR(IF(ISBLANK(VLOOKUP(CONCATENATE($F26,"_",AI$4),Consejerias_2,MATCH(AI$3,Consejerías!$F$21:$O$21,0),0)),"",VLOOKUP(CONCATENATE($F26,"_",AI$4),Consejerias_2,MATCH(AI$3,Consejerías!$F$21:$O$21,0),0)),"")</f>
        <v>1023</v>
      </c>
      <c r="AJ26" t="str">
        <f>+IFERROR(IF(ISBLANK(VLOOKUP(CONCATENATE($F26,"_",AJ$4),Consejerias_2,MATCH(AJ$3,Consejerías!$F$21:$O$21,0),0)),"",VLOOKUP(CONCATENATE($F26,"_",AJ$4),Consejerias_2,MATCH(AJ$3,Consejerías!$F$21:$O$21,0),0)),"")</f>
        <v/>
      </c>
      <c r="AK26" t="str">
        <f>+IFERROR(IF(ISBLANK(VLOOKUP(CONCATENATE($F26,"_",AK$4),Consejerias_2,MATCH(AK$3,Consejerías!$F$21:$O$21,0),0)),"",VLOOKUP(CONCATENATE($F26,"_",AK$4),Consejerias_2,MATCH(AK$3,Consejerías!$F$21:$O$21,0),0)),"")</f>
        <v>Al 25 de marzo de 2020 en la plataforma de datos abiertos de Bogotá, se contabilizan 1023 conjuntos de datos publicados provenientes de 55 entidades distritales. La URL de acceso es: https://datosabiertos.bogota.gov.co/</v>
      </c>
      <c r="AL26" t="str">
        <f>+IFERROR(IF(ISBLANK(VLOOKUP(CONCATENATE($F26,"_",AL$4),Consejerias_2,MATCH(AL$3,Consejerías!$F$21:$O$21,0),0)),"",VLOOKUP(CONCATENATE($F26,"_",AL$4),Consejerias_2,MATCH(AL$3,Consejerías!$F$21:$O$21,0),0)),"")</f>
        <v>No se presentaron retrasos en el periodo</v>
      </c>
      <c r="AM26" t="str">
        <f>+IFERROR(IF(ISBLANK(VLOOKUP(CONCATENATE($F26,"_",AM$4),Consejerias_2,MATCH(AM$3,Consejerías!$F$21:$O$21,0),0)),"",VLOOKUP(CONCATENATE($F26,"_",AM$4),Consejerias_2,MATCH(AM$3,Consejerías!$F$21:$O$21,0),0)),"")</f>
        <v>Con la divulgación de los conjuntos de datos a la ciudadanía en general, se permite que cualquier persona pueda usarlos con fines investigativos, emprendimiento e innovación, entre otros. De igual forma, permiten ver la gestión y transparencia de las Entidades Distritales.</v>
      </c>
      <c r="AN26" t="str">
        <f>+IFERROR(IF(ISBLANK(VLOOKUP(CONCATENATE($F26,"_",AN$4),Consejerias_2,MATCH(AN$3,Consejerías!$F$21:$O$21,0),0)),"",VLOOKUP(CONCATENATE($F26,"_",AN$4),Consejerias_2,MATCH(AN$3,Consejerías!$F$21:$O$21,0),0)),"")</f>
        <v/>
      </c>
      <c r="AO26" t="str">
        <f>+IFERROR(IF(ISBLANK(VLOOKUP(CONCATENATE($F26,"_",AO$4),Consejerias_2,MATCH(AO$3,Consejerías!$F$21:$O$21,0),0)),"",VLOOKUP(CONCATENATE($F26,"_",AO$4),Consejerias_2,MATCH(AO$3,Consejerías!$F$21:$O$21,0),0)),"")</f>
        <v/>
      </c>
      <c r="AP26" t="str">
        <f>+IFERROR(IF(ISBLANK(VLOOKUP(CONCATENATE($F26,"_",AP$4),Consejerias_2,MATCH(AP$3,Consejerías!$F$21:$O$21,0),0)),"",VLOOKUP(CONCATENATE($F26,"_",AP$4),Consejerias_2,MATCH(AP$3,Consejerías!$F$21:$O$21,0),0)),"")</f>
        <v/>
      </c>
      <c r="AQ26" t="str">
        <f>+IFERROR(IF(ISBLANK(VLOOKUP(CONCATENATE($F26,"_",AQ$4),Consejerias_2,MATCH(AQ$3,Consejerías!$F$21:$O$21,0),0)),"",VLOOKUP(CONCATENATE($F26,"_",AQ$4),Consejerias_2,MATCH(AQ$3,Consejerías!$F$21:$O$21,0),0)),"")</f>
        <v/>
      </c>
      <c r="AR26" t="str">
        <f>+IFERROR(IF(ISBLANK(VLOOKUP(CONCATENATE($F26,"_",AR$4),Consejerias_2,MATCH(AR$3,Consejerías!$F$21:$O$21,0),0)),"",VLOOKUP(CONCATENATE($F26,"_",AR$4),Consejerias_2,MATCH(AR$3,Consejerías!$F$21:$O$21,0),0)),"")</f>
        <v/>
      </c>
      <c r="AS26">
        <f>+IFERROR(IF(ISBLANK(VLOOKUP(CONCATENATE($F26,"_",AS$4),Consejerias_2,MATCH(AS$3,Consejerías!$F$21:$O$21,0),0)),"",VLOOKUP(CONCATENATE($F26,"_",AS$4),Consejerias_2,MATCH(AS$3,Consejerías!$F$21:$O$21,0),0)),"")</f>
        <v>1206</v>
      </c>
      <c r="AT26" t="str">
        <f>+IFERROR(IF(ISBLANK(VLOOKUP(CONCATENATE($F26,"_",AT$4),Consejerias_2,MATCH(AT$3,Consejerías!$F$21:$O$21,0),0)),"",VLOOKUP(CONCATENATE($F26,"_",AT$4),Consejerias_2,MATCH(AT$3,Consejerías!$F$21:$O$21,0),0)),"")</f>
        <v/>
      </c>
      <c r="AU26" t="str">
        <f>+IFERROR(IF(ISBLANK(VLOOKUP(CONCATENATE($F26,"_",AU$4),Consejerias_2,MATCH(AU$3,Consejerías!$F$21:$O$21,0),0)),"",VLOOKUP(CONCATENATE($F26,"_",AU$4),Consejerias_2,MATCH(AU$3,Consejerías!$F$21:$O$21,0),0)),"")</f>
        <v>Al 31 de mayo de 2020 en la plataforma de datos abiertos de Bogotá, se contabilizan 1206 conjuntos de datos publicados provenientes de 55 entidades distritales. La URL de acceso es: https://datosabiertos.bogota.gov.co/</v>
      </c>
      <c r="AV26" t="str">
        <f>+IFERROR(IF(ISBLANK(VLOOKUP(CONCATENATE($F26,"_",AV$4),Consejerias_2,MATCH(AV$3,Consejerías!$F$21:$O$21,0),0)),"",VLOOKUP(CONCATENATE($F26,"_",AV$4),Consejerias_2,MATCH(AV$3,Consejerías!$F$21:$O$21,0),0)),"")</f>
        <v>No se presentaron retrasos en el periodo</v>
      </c>
      <c r="AW26" t="str">
        <f>+IFERROR(IF(ISBLANK(VLOOKUP(CONCATENATE($F26,"_",AW$4),Consejerias_2,MATCH(AW$3,Consejerías!$F$21:$O$21,0),0)),"",VLOOKUP(CONCATENATE($F26,"_",AW$4),Consejerias_2,MATCH(AW$3,Consejerías!$F$21:$O$21,0),0)),"")</f>
        <v>Con la divulgación de los conjuntos de datos a la ciudadanía en general, se permite que cualquier persona pueda usarlos con fines investigativos, emprendimiento e innovación, entre otros. De igual forma, permiten ver la gestión y transparencia de las Entidades Distritales.</v>
      </c>
      <c r="AX26" t="str">
        <f>+IFERROR(IF(ISBLANK(VLOOKUP(CONCATENATE($F26,"_",AX$4),Consejerias_2,MATCH(AX$3,Consejerías!$F$21:$O$21,0),0)),"",VLOOKUP(CONCATENATE($F26,"_",AX$4),Consejerias_2,MATCH(AX$3,Consejerías!$F$21:$O$21,0),0)),"")</f>
        <v/>
      </c>
      <c r="AY26" t="str">
        <f>+IFERROR(IF(ISBLANK(VLOOKUP(CONCATENATE($F26,"_",AY$4),Consejerias_2,MATCH(AY$3,Consejerías!$F$21:$O$21,0),0)),"",VLOOKUP(CONCATENATE($F26,"_",AY$4),Consejerias_2,MATCH(AY$3,Consejerías!$F$21:$O$21,0),0)),"")</f>
        <v/>
      </c>
      <c r="AZ26" t="str">
        <f>+IFERROR(IF(ISBLANK(VLOOKUP(CONCATENATE($F26,"_",AZ$4),Consejerias_2,MATCH(AZ$3,Consejerías!$F$21:$O$21,0),0)),"",VLOOKUP(CONCATENATE($F26,"_",AZ$4),Consejerias_2,MATCH(AZ$3,Consejerías!$F$21:$O$21,0),0)),"")</f>
        <v/>
      </c>
      <c r="BA26" t="str">
        <f>+IFERROR(IF(ISBLANK(VLOOKUP(CONCATENATE($F26,"_",BA$4),Consejerias_2,MATCH(BA$3,Consejerías!$F$21:$O$21,0),0)),"",VLOOKUP(CONCATENATE($F26,"_",BA$4),Consejerias_2,MATCH(BA$3,Consejerías!$F$21:$O$21,0),0)),"")</f>
        <v/>
      </c>
      <c r="BB26" t="str">
        <f>+IFERROR(IF(ISBLANK(VLOOKUP(CONCATENATE($F26,"_",BB$4),Consejerias_2,MATCH(BB$3,Consejerías!$F$21:$O$21,0),0)),"",VLOOKUP(CONCATENATE($F26,"_",BB$4),Consejerias_2,MATCH(BB$3,Consejerías!$F$21:$O$21,0),0)),"")</f>
        <v/>
      </c>
      <c r="BC26">
        <f t="shared" si="10"/>
        <v>2229</v>
      </c>
      <c r="BD26">
        <f t="shared" si="10"/>
        <v>0</v>
      </c>
      <c r="CI26">
        <f t="shared" si="22"/>
        <v>0</v>
      </c>
      <c r="CJ26">
        <f t="shared" si="22"/>
        <v>0</v>
      </c>
      <c r="CK26">
        <f t="shared" si="22"/>
        <v>0</v>
      </c>
      <c r="CL26">
        <f t="shared" si="22"/>
        <v>0</v>
      </c>
      <c r="CM26">
        <f t="shared" si="22"/>
        <v>0</v>
      </c>
      <c r="CN26">
        <f t="shared" si="22"/>
        <v>0</v>
      </c>
      <c r="CO26">
        <f t="shared" si="22"/>
        <v>0</v>
      </c>
      <c r="CP26">
        <f t="shared" si="22"/>
        <v>0</v>
      </c>
      <c r="CQ26">
        <f t="shared" si="22"/>
        <v>0</v>
      </c>
      <c r="CR26">
        <f t="shared" si="22"/>
        <v>0</v>
      </c>
      <c r="CS26">
        <f t="shared" si="23"/>
        <v>0</v>
      </c>
      <c r="CT26">
        <f t="shared" si="23"/>
        <v>0</v>
      </c>
      <c r="CU26">
        <f t="shared" si="23"/>
        <v>0</v>
      </c>
      <c r="CV26">
        <f t="shared" si="23"/>
        <v>0</v>
      </c>
      <c r="CW26">
        <f t="shared" si="23"/>
        <v>0</v>
      </c>
      <c r="CX26">
        <f t="shared" si="23"/>
        <v>0</v>
      </c>
      <c r="CY26">
        <f t="shared" si="23"/>
        <v>0</v>
      </c>
      <c r="CZ26">
        <f t="shared" si="23"/>
        <v>0</v>
      </c>
      <c r="DA26">
        <f t="shared" si="23"/>
        <v>0</v>
      </c>
      <c r="DB26">
        <f t="shared" si="23"/>
        <v>0</v>
      </c>
      <c r="DC26">
        <f t="shared" si="24"/>
        <v>0</v>
      </c>
      <c r="DD26">
        <f t="shared" si="24"/>
        <v>0</v>
      </c>
      <c r="DE26" t="e">
        <f t="shared" si="24"/>
        <v>#REF!</v>
      </c>
      <c r="DF26" t="e">
        <f t="shared" si="24"/>
        <v>#REF!</v>
      </c>
      <c r="DG26" t="e">
        <f t="shared" si="24"/>
        <v>#REF!</v>
      </c>
      <c r="DH26" t="e">
        <f t="shared" si="24"/>
        <v>#REF!</v>
      </c>
      <c r="DI26" t="e">
        <f t="shared" si="24"/>
        <v>#REF!</v>
      </c>
      <c r="DJ26" t="e">
        <f t="shared" si="24"/>
        <v>#REF!</v>
      </c>
      <c r="DK26" t="e">
        <f t="shared" si="24"/>
        <v>#REF!</v>
      </c>
      <c r="DL26" t="e">
        <f t="shared" si="24"/>
        <v>#REF!</v>
      </c>
      <c r="DM26" t="e">
        <f t="shared" si="25"/>
        <v>#REF!</v>
      </c>
      <c r="DN26" t="e">
        <f t="shared" si="25"/>
        <v>#REF!</v>
      </c>
      <c r="DO26" t="e">
        <f t="shared" si="25"/>
        <v>#REF!</v>
      </c>
      <c r="DP26" t="e">
        <f t="shared" si="25"/>
        <v>#REF!</v>
      </c>
      <c r="DQ26" t="e">
        <f t="shared" si="25"/>
        <v>#REF!</v>
      </c>
      <c r="DR26" t="e">
        <f t="shared" si="25"/>
        <v>#REF!</v>
      </c>
      <c r="DS26" t="e">
        <f t="shared" si="25"/>
        <v>#REF!</v>
      </c>
      <c r="DT26" t="e">
        <f t="shared" si="25"/>
        <v>#REF!</v>
      </c>
      <c r="DU26" t="e">
        <f t="shared" si="25"/>
        <v>#REF!</v>
      </c>
      <c r="DV26" t="e">
        <f t="shared" si="25"/>
        <v>#REF!</v>
      </c>
      <c r="DW26" t="e">
        <f t="shared" si="25"/>
        <v>#REF!</v>
      </c>
      <c r="DX26" t="e">
        <f t="shared" si="25"/>
        <v>#REF!</v>
      </c>
    </row>
    <row r="27" spans="1:128" x14ac:dyDescent="0.3">
      <c r="A27" s="423" t="str">
        <f t="shared" si="16"/>
        <v>174A</v>
      </c>
      <c r="B27" t="str">
        <f t="shared" si="17"/>
        <v>1_Oficina Alta Consejería para los Derechos de las Víctimas, la Paz y la Reconciliación</v>
      </c>
      <c r="C27">
        <f t="shared" si="8"/>
        <v>1</v>
      </c>
      <c r="D27" t="str">
        <f t="shared" si="0"/>
        <v>Oficina Alta Consejería para los Derechos de las Víctimas, la Paz y la Reconciliación</v>
      </c>
      <c r="E27" t="str">
        <f t="shared" si="1"/>
        <v>oav</v>
      </c>
      <c r="F27" s="208" t="str">
        <f>Consejerías!D12</f>
        <v>174A</v>
      </c>
      <c r="G27" t="str">
        <f t="shared" ref="G27:J59" si="30">+IFERROR(VLOOKUP($F27,bd,MATCH(G$5,bdfila,0),0),"")</f>
        <v>Constante</v>
      </c>
      <c r="H27" t="str">
        <f t="shared" si="30"/>
        <v>Porcentaje</v>
      </c>
      <c r="I27">
        <f t="shared" si="30"/>
        <v>1</v>
      </c>
      <c r="J27">
        <f t="shared" si="30"/>
        <v>1</v>
      </c>
      <c r="K27" t="str">
        <f>+IFERROR(VLOOKUP($F27,Consejerias_1,MATCH(K$5,Consejerías!$D$9:$V$9,0),0),"")</f>
        <v>Constante</v>
      </c>
      <c r="L27" t="str">
        <f>+IFERROR(VLOOKUP($F27,Consejerias_1,MATCH(L$5,Consejerías!$D$9:$V$9,0),0),"")</f>
        <v/>
      </c>
      <c r="M27">
        <f t="shared" si="9"/>
        <v>300</v>
      </c>
      <c r="N27">
        <f>+IFERROR(VLOOKUP($F27,Consejerias_1,MATCH(N$5,Consejerías!$D$9:$V$9,0),0),"")</f>
        <v>100</v>
      </c>
      <c r="O27">
        <f>+IFERROR(VLOOKUP($F27,Consejerias_1,MATCH(O$5,Consejerías!$D$9:$V$9,0),0),"")</f>
        <v>100</v>
      </c>
      <c r="P27">
        <f>+IFERROR(VLOOKUP($F27,Consejerias_1,MATCH(P$5,Consejerías!$D$9:$V$9,0),0),"")</f>
        <v>100</v>
      </c>
      <c r="Q27">
        <f>+IFERROR(VLOOKUP($F27,Consejerias_1,MATCH(Q$5,Consejerías!$D$9:$V$9,0),0),"")</f>
        <v>100</v>
      </c>
      <c r="R27">
        <f>+IFERROR(VLOOKUP($F27,Consejerias_1,MATCH(R$5,Consejerías!$D$9:$V$9,0),0),"")</f>
        <v>100</v>
      </c>
      <c r="S27">
        <f>+IFERROR(VLOOKUP($F27,Consejerias_1,MATCH(S$5,Consejerías!$D$9:$V$9,0),0),"")</f>
        <v>0</v>
      </c>
      <c r="T27">
        <f>+IFERROR(VLOOKUP($F27,Consejerias_1,MATCH(T$5,Consejerías!$D$9:$V$9,0),0),"")</f>
        <v>100</v>
      </c>
      <c r="U27" t="str">
        <f>+IFERROR(VLOOKUP($F27,Consejerias_1,MATCH(U$5,Consejerías!$D$9:$V$9,0),0),"")</f>
        <v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v>
      </c>
      <c r="V27" t="str">
        <f>+IFERROR(VLOOKUP($F27,Consejerias_1,MATCH(V$5,Consejerías!$D$9:$V$9,0),0),"")</f>
        <v>Corresponde a las garantias que debe proveer la ACDVPR para que los integrantes de las mesas de participación local, asistana a las sesiones.</v>
      </c>
      <c r="W27" t="str">
        <f>+IFERROR(VLOOKUP($F27,Consejerias_1,MATCH(W$5,Consejerías!$D$9:$V$9,0),0),"")</f>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
      <c r="X27" t="str">
        <f>+IFERROR(VLOOKUP($F27,Consejerias_1,MATCH(X$5,Consejerías!$D$9:$V$9,0),0),"")</f>
        <v>Base de datos donde se consta el tiempo de asistencia
certificado de pago expedido por la ACDVPR firmado por el Alto Consejero</v>
      </c>
      <c r="Y27">
        <f>+IFERROR(IF(ISBLANK(VLOOKUP(CONCATENATE($F27,"_",Y$4),Consejerias_2,MATCH(Y$3,Consejerías!$F$21:$O$21,0),0)),"",VLOOKUP(CONCATENATE($F27,"_",Y$4),Consejerias_2,MATCH(Y$3,Consejerías!$F$21:$O$21,0),0)),"")</f>
        <v>36</v>
      </c>
      <c r="Z27">
        <f>+IFERROR(IF(ISBLANK(VLOOKUP(CONCATENATE($F27,"_",Z$4),Consejerias_2,MATCH(Z$3,Consejerías!$F$21:$O$21,0),0)),"",VLOOKUP(CONCATENATE($F27,"_",Z$4),Consejerias_2,MATCH(Z$3,Consejerías!$F$21:$O$21,0),0)),"")</f>
        <v>36</v>
      </c>
      <c r="AA27" t="str">
        <f>+IFERROR(IF(ISBLANK(VLOOKUP(CONCATENATE($F27,"_",AA$4),Consejerias_2,MATCH(AA$3,Consejerías!$F$21:$O$21,0),0)),"",VLOOKUP(CONCATENATE($F27,"_",AA$4),Consejerias_2,MATCH(AA$3,Consejerías!$F$21:$O$21,0),0)),"")</f>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enero de 2020 con el fin de cumplir con el pago de garantías, se expidió Certificación de pago reconociendo 25 apoyos de transporte y 11 apoyos compensatorios con lo cual se dio pago a 36 garantías de participación correspondientes al mes de diciembre de 2019.</v>
      </c>
      <c r="AB27" t="str">
        <f>+IFERROR(IF(ISBLANK(VLOOKUP(CONCATENATE($F27,"_",AB$4),Consejerias_2,MATCH(AB$3,Consejerías!$F$21:$O$21,0),0)),"",VLOOKUP(CONCATENATE($F27,"_",AB$4),Consejerias_2,MATCH(AB$3,Consejerías!$F$21:$O$21,0),0)),"")</f>
        <v>No se presentó ningún retraso</v>
      </c>
      <c r="AC27" t="str">
        <f>+IFERROR(IF(ISBLANK(VLOOKUP(CONCATENATE($F27,"_",AC$4),Consejerias_2,MATCH(AC$3,Consejerías!$F$21:$O$21,0),0)),"",VLOOKUP(CONCATENATE($F27,"_",AC$4),Consejerias_2,MATCH(AC$3,Consejerías!$F$21:$O$21,0),0)),"")</f>
        <v>Participación de Delegados y delegadas titulares de 8 Mesas Locales, de la Mesa Distrital, de la Mesas de Enfoque Diferencial afro e Indígena,  Representantes escogidos por las mesas al CDJT y una sesión del comité ejecutivo de la mesa distrital recibieron garantías a la participación atendiendo a su asistencia a los distintos espacios.</v>
      </c>
      <c r="AD27">
        <f>+IFERROR(IF(ISBLANK(VLOOKUP(CONCATENATE($F27,"_",AD$4),Consejerias_2,MATCH(AD$3,Consejerías!$F$21:$O$21,0),0)),"",VLOOKUP(CONCATENATE($F27,"_",AD$4),Consejerias_2,MATCH(AD$3,Consejerías!$F$21:$O$21,0),0)),"")</f>
        <v>251</v>
      </c>
      <c r="AE27">
        <f>+IFERROR(IF(ISBLANK(VLOOKUP(CONCATENATE($F27,"_",AE$4),Consejerias_2,MATCH(AE$3,Consejerías!$F$21:$O$21,0),0)),"",VLOOKUP(CONCATENATE($F27,"_",AE$4),Consejerias_2,MATCH(AE$3,Consejerías!$F$21:$O$21,0),0)),"")</f>
        <v>251</v>
      </c>
      <c r="AF27" t="str">
        <f>+IFERROR(IF(ISBLANK(VLOOKUP(CONCATENATE($F27,"_",AF$4),Consejerias_2,MATCH(AF$3,Consejerías!$F$21:$O$21,0),0)),"",VLOOKUP(CONCATENATE($F27,"_",AF$4),Consejerias_2,MATCH(AF$3,Consejerías!$F$21:$O$21,0),0)),"")</f>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asi que durante el mes de febrero se realizó el pago de un total de 251 garantías a la participación correspondientes al mes de enero. Los pagos están distribuidos en 110 apoyos compensatorios , 117 apoyos de transporte a los delegados y delegadas de los espacios de participación, correspondiente a asistencia a las sesiones del mes de enero, 11 Apoyos compensatorios y 13 apoyos de transporte a delegados que se bancanrizaron durante el mes de enero, con pagos pendientes por asistencia a sesiones de los meses de octubre, noviembre y diciembre de 2019.</v>
      </c>
      <c r="AG27" t="str">
        <f>+IFERROR(IF(ISBLANK(VLOOKUP(CONCATENATE($F27,"_",AG$4),Consejerias_2,MATCH(AG$3,Consejerías!$F$21:$O$21,0),0)),"",VLOOKUP(CONCATENATE($F27,"_",AG$4),Consejerias_2,MATCH(AG$3,Consejerías!$F$21:$O$21,0),0)),"")</f>
        <v>No se presentó ningún retraso</v>
      </c>
      <c r="AH27" t="str">
        <f>+IFERROR(IF(ISBLANK(VLOOKUP(CONCATENATE($F27,"_",AH$4),Consejerias_2,MATCH(AH$3,Consejerías!$F$21:$O$21,0),0)),"",VLOOKUP(CONCATENATE($F27,"_",AH$4),Consejerias_2,MATCH(AH$3,Consejerías!$F$21:$O$21,0),0)),"")</f>
        <v>Se logra la participación activa de las victimas en la generación de politica de victimas, asi como el seguimiento a la misma.</v>
      </c>
      <c r="AI27">
        <f>+IFERROR(IF(ISBLANK(VLOOKUP(CONCATENATE($F27,"_",AI$4),Consejerias_2,MATCH(AI$3,Consejerías!$F$21:$O$21,0),0)),"",VLOOKUP(CONCATENATE($F27,"_",AI$4),Consejerias_2,MATCH(AI$3,Consejerías!$F$21:$O$21,0),0)),"")</f>
        <v>563</v>
      </c>
      <c r="AJ27">
        <f>+IFERROR(IF(ISBLANK(VLOOKUP(CONCATENATE($F27,"_",AJ$4),Consejerias_2,MATCH(AJ$3,Consejerías!$F$21:$O$21,0),0)),"",VLOOKUP(CONCATENATE($F27,"_",AJ$4),Consejerias_2,MATCH(AJ$3,Consejerías!$F$21:$O$21,0),0)),"")</f>
        <v>563</v>
      </c>
      <c r="AK27" t="str">
        <f>+IFERROR(IF(ISBLANK(VLOOKUP(CONCATENATE($F27,"_",AK$4),Consejerias_2,MATCH(AK$3,Consejerías!$F$21:$O$21,0),0)),"",VLOOKUP(CONCATENATE($F27,"_",AK$4),Consejerias_2,MATCH(AK$3,Consejerías!$F$21:$O$21,0),0)),"")</f>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así que durante el mes de marzo, se realizó el pago de 563 apoyos de garantías a la participación, distribuidos en 273 pagos de apoyo compensatorio y 290 pagos de apoyo de transporte.</v>
      </c>
      <c r="AL27" t="str">
        <f>+IFERROR(IF(ISBLANK(VLOOKUP(CONCATENATE($F27,"_",AL$4),Consejerias_2,MATCH(AL$3,Consejerías!$F$21:$O$21,0),0)),"",VLOOKUP(CONCATENATE($F27,"_",AL$4),Consejerias_2,MATCH(AL$3,Consejerías!$F$21:$O$21,0),0)),"")</f>
        <v>No se presentan retratos pero si dificultades dado que a la fecha hay miembros de Mesas sin bancarizar, por lo cual no se realiza el pago de 32 garantías.</v>
      </c>
      <c r="AM27" t="str">
        <f>+IFERROR(IF(ISBLANK(VLOOKUP(CONCATENATE($F27,"_",AM$4),Consejerias_2,MATCH(AM$3,Consejerías!$F$21:$O$21,0),0)),"",VLOOKUP(CONCATENATE($F27,"_",AM$4),Consejerias_2,MATCH(AM$3,Consejerías!$F$21:$O$21,0),0)),"")</f>
        <v>Se beneficia a Miembros de los 24 espacios de participación contemplados en el Decreto 512 de 2019</v>
      </c>
      <c r="AN27">
        <f>+IFERROR(IF(ISBLANK(VLOOKUP(CONCATENATE($F27,"_",AN$4),Consejerias_2,MATCH(AN$3,Consejerías!$F$21:$O$21,0),0)),"",VLOOKUP(CONCATENATE($F27,"_",AN$4),Consejerias_2,MATCH(AN$3,Consejerías!$F$21:$O$21,0),0)),"")</f>
        <v>541</v>
      </c>
      <c r="AO27">
        <f>+IFERROR(IF(ISBLANK(VLOOKUP(CONCATENATE($F27,"_",AO$4),Consejerias_2,MATCH(AO$3,Consejerías!$F$21:$O$21,0),0)),"",VLOOKUP(CONCATENATE($F27,"_",AO$4),Consejerias_2,MATCH(AO$3,Consejerías!$F$21:$O$21,0),0)),"")</f>
        <v>541</v>
      </c>
      <c r="AP27" t="str">
        <f>+IFERROR(IF(ISBLANK(VLOOKUP(CONCATENATE($F27,"_",AP$4),Consejerias_2,MATCH(AP$3,Consejerías!$F$21:$O$21,0),0)),"",VLOOKUP(CONCATENATE($F27,"_",AP$4),Consejerias_2,MATCH(AP$3,Consejerías!$F$21:$O$21,0),0)),"")</f>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así que durante el mes de abril, se realizó el pago de 541 apoyos de garantías a la participación, distribuidos en 259 pagos de apoyo compensatorio y 282 pagos de apoyo de transporte.</v>
      </c>
      <c r="AQ27" t="str">
        <f>+IFERROR(IF(ISBLANK(VLOOKUP(CONCATENATE($F27,"_",AQ$4),Consejerias_2,MATCH(AQ$3,Consejerías!$F$21:$O$21,0),0)),"",VLOOKUP(CONCATENATE($F27,"_",AQ$4),Consejerias_2,MATCH(AQ$3,Consejerías!$F$21:$O$21,0),0)),"")</f>
        <v>No se presentan retratos pero si dificultades dado que a la fecha hay miembros de Mesas sin bancarizar, por lo cual no se realiza el pago de 19 garantías.</v>
      </c>
      <c r="AR27" t="str">
        <f>+IFERROR(IF(ISBLANK(VLOOKUP(CONCATENATE($F27,"_",AR$4),Consejerias_2,MATCH(AR$3,Consejerías!$F$21:$O$21,0),0)),"",VLOOKUP(CONCATENATE($F27,"_",AR$4),Consejerias_2,MATCH(AR$3,Consejerías!$F$21:$O$21,0),0)),"")</f>
        <v>En el mes de abril se benefició a Representantes de 15 Mesas Locales, 1 Mesa Distrital y las 3 de Enfoque Diferencial, adicionalmente al comité Ejecutivo de Mesa Distrital y a los participantes del espacio ampliado.</v>
      </c>
      <c r="AS27">
        <f>+IFERROR(IF(ISBLANK(VLOOKUP(CONCATENATE($F27,"_",AS$4),Consejerias_2,MATCH(AS$3,Consejerías!$F$21:$O$21,0),0)),"",VLOOKUP(CONCATENATE($F27,"_",AS$4),Consejerias_2,MATCH(AS$3,Consejerías!$F$21:$O$21,0),0)),"")</f>
        <v>0</v>
      </c>
      <c r="AT27">
        <f>+IFERROR(IF(ISBLANK(VLOOKUP(CONCATENATE($F27,"_",AT$4),Consejerias_2,MATCH(AT$3,Consejerías!$F$21:$O$21,0),0)),"",VLOOKUP(CONCATENATE($F27,"_",AT$4),Consejerias_2,MATCH(AT$3,Consejerías!$F$21:$O$21,0),0)),"")</f>
        <v>0</v>
      </c>
      <c r="AU27" t="str">
        <f>+IFERROR(IF(ISBLANK(VLOOKUP(CONCATENATE($F27,"_",AU$4),Consejerias_2,MATCH(AU$3,Consejerías!$F$21:$O$21,0),0)),"",VLOOKUP(CONCATENATE($F27,"_",AU$4),Consejerias_2,MATCH(AU$3,Consejerías!$F$21:$O$21,0),0)),"")</f>
        <v>No fueron reconocidas garantias.</v>
      </c>
      <c r="AV27" t="str">
        <f>+IFERROR(IF(ISBLANK(VLOOKUP(CONCATENATE($F27,"_",AV$4),Consejerias_2,MATCH(AV$3,Consejerías!$F$21:$O$21,0),0)),"",VLOOKUP(CONCATENATE($F27,"_",AV$4),Consejerias_2,MATCH(AV$3,Consejerías!$F$21:$O$21,0),0)),"")</f>
        <v>Se presentó dificultad en la efectividad de pagos de apoyos compensatorios, todavez, que la normatividad emitida por la Entidad, no contempló las sesiones virtuales respecto de los requisitos de pago, se emitió una Resolución que contempla una forma alternativa de dar cumplimiento a los mismos, motivo por el cual se realizará el pago en el mes de junio.</v>
      </c>
      <c r="AW27" t="str">
        <f>+IFERROR(IF(ISBLANK(VLOOKUP(CONCATENATE($F27,"_",AW$4),Consejerias_2,MATCH(AW$3,Consejerías!$F$21:$O$21,0),0)),"",VLOOKUP(CONCATENATE($F27,"_",AW$4),Consejerias_2,MATCH(AW$3,Consejerías!$F$21:$O$21,0),0)),"")</f>
        <v>Se logra la participación activa de las victimas en la generación de politica de victimas, asi como el seguimiento a la misma.</v>
      </c>
      <c r="AX27" t="str">
        <f>+IFERROR(IF(ISBLANK(VLOOKUP(CONCATENATE($F27,"_",AX$4),Consejerias_2,MATCH(AX$3,Consejerías!$F$21:$O$21,0),0)),"",VLOOKUP(CONCATENATE($F27,"_",AX$4),Consejerias_2,MATCH(AX$3,Consejerías!$F$21:$O$21,0),0)),"")</f>
        <v/>
      </c>
      <c r="AY27" t="str">
        <f>+IFERROR(IF(ISBLANK(VLOOKUP(CONCATENATE($F27,"_",AY$4),Consejerias_2,MATCH(AY$3,Consejerías!$F$21:$O$21,0),0)),"",VLOOKUP(CONCATENATE($F27,"_",AY$4),Consejerias_2,MATCH(AY$3,Consejerías!$F$21:$O$21,0),0)),"")</f>
        <v/>
      </c>
      <c r="AZ27" t="str">
        <f>+IFERROR(IF(ISBLANK(VLOOKUP(CONCATENATE($F27,"_",AZ$4),Consejerias_2,MATCH(AZ$3,Consejerías!$F$21:$O$21,0),0)),"",VLOOKUP(CONCATENATE($F27,"_",AZ$4),Consejerias_2,MATCH(AZ$3,Consejerías!$F$21:$O$21,0),0)),"")</f>
        <v/>
      </c>
      <c r="BA27" t="str">
        <f>+IFERROR(IF(ISBLANK(VLOOKUP(CONCATENATE($F27,"_",BA$4),Consejerias_2,MATCH(BA$3,Consejerías!$F$21:$O$21,0),0)),"",VLOOKUP(CONCATENATE($F27,"_",BA$4),Consejerias_2,MATCH(BA$3,Consejerías!$F$21:$O$21,0),0)),"")</f>
        <v/>
      </c>
      <c r="BB27" t="str">
        <f>+IFERROR(IF(ISBLANK(VLOOKUP(CONCATENATE($F27,"_",BB$4),Consejerias_2,MATCH(BB$3,Consejerías!$F$21:$O$21,0),0)),"",VLOOKUP(CONCATENATE($F27,"_",BB$4),Consejerias_2,MATCH(BB$3,Consejerías!$F$21:$O$21,0),0)),"")</f>
        <v/>
      </c>
      <c r="BC27">
        <f t="shared" si="10"/>
        <v>1391</v>
      </c>
      <c r="BD27">
        <f t="shared" si="10"/>
        <v>1391</v>
      </c>
      <c r="BE27" s="129" t="str">
        <f>+IFERROR(IF(ISBLANK(VLOOKUP(CONCATENATE($F27,"_",BE$4),P1125_4,MATCH(BE$3,PAAC!$E$19:$M$19,0),0)),"",VLOOKUP(CONCATENATE($F27,"_",BE$4),P1125_4,MATCH(BE$3,PAAC!$E$19:$M$19,0),0)),"")</f>
        <v/>
      </c>
      <c r="BF27" s="129" t="str">
        <f>+IFERROR(IF(ISBLANK(VLOOKUP(CONCATENATE($F27,"_",BF$4),P1125_4,MATCH(BF$3,PAAC!$E$19:$M$19,0),0)),"",VLOOKUP(CONCATENATE($F27,"_",BF$4),P1125_4,MATCH(BF$3,PAAC!$E$19:$M$19,0),0)),"")</f>
        <v/>
      </c>
      <c r="BG27" s="129" t="str">
        <f>+IFERROR(IF(ISBLANK(VLOOKUP(CONCATENATE($F27,"_",BG$4),P1125_4,MATCH(BG$3,PAAC!$E$19:$M$19,0),0)),"",VLOOKUP(CONCATENATE($F27,"_",BG$4),P1125_4,MATCH(BG$3,PAAC!$E$19:$M$19,0),0)),"")</f>
        <v/>
      </c>
      <c r="BH27" s="129" t="str">
        <f>+IFERROR(IF(ISBLANK(VLOOKUP(CONCATENATE($F27,"_",BH$4),P1125_4,MATCH(BH$3,PAAC!$E$19:$M$19,0),0)),"",VLOOKUP(CONCATENATE($F27,"_",BH$4),P1125_4,MATCH(BH$3,PAAC!$E$19:$M$19,0),0)),"")</f>
        <v/>
      </c>
      <c r="BI27" s="129" t="str">
        <f>+IFERROR(IF(ISBLANK(VLOOKUP(CONCATENATE($F27,"_",BI$4),P1125_4,MATCH(BI$3,PAAC!$E$19:$M$19,0),0)),"",VLOOKUP(CONCATENATE($F27,"_",BI$4),P1125_4,MATCH(BI$3,PAAC!$E$19:$M$19,0),0)),"")</f>
        <v/>
      </c>
      <c r="BJ27" s="129" t="str">
        <f>+IFERROR(IF(ISBLANK(VLOOKUP(CONCATENATE($F27,"_",BJ$4),P1125_4,MATCH(BJ$3,PAAC!$E$19:$M$19,0),0)),"",VLOOKUP(CONCATENATE($F27,"_",BJ$4),P1125_4,MATCH(BJ$3,PAAC!$E$19:$M$19,0),0)),"")</f>
        <v/>
      </c>
      <c r="BK27" s="129" t="str">
        <f>+IFERROR(IF(ISBLANK(VLOOKUP(CONCATENATE($F27,"_",BK$4),P1125_4,MATCH(BK$3,PAAC!$E$19:$M$19,0),0)),"",VLOOKUP(CONCATENATE($F27,"_",BK$4),P1125_4,MATCH(BK$3,PAAC!$E$19:$M$19,0),0)),"")</f>
        <v/>
      </c>
      <c r="BL27" s="129" t="str">
        <f>+IFERROR(IF(ISBLANK(VLOOKUP(CONCATENATE($F27,"_",BL$4),P1125_4,MATCH(BL$3,PAAC!$E$19:$M$19,0),0)),"",VLOOKUP(CONCATENATE($F27,"_",BL$4),P1125_4,MATCH(BL$3,PAAC!$E$19:$M$19,0),0)),"")</f>
        <v/>
      </c>
      <c r="BM27" s="129" t="str">
        <f>+IFERROR(IF(ISBLANK(VLOOKUP(CONCATENATE($F27,"_",BM$4),P1125_4,MATCH(BM$3,PAAC!$E$19:$M$19,0),0)),"",VLOOKUP(CONCATENATE($F27,"_",BM$4),P1125_4,MATCH(BM$3,PAAC!$E$19:$M$19,0),0)),"")</f>
        <v/>
      </c>
      <c r="BN27" s="129" t="str">
        <f>+IFERROR(IF(ISBLANK(VLOOKUP(CONCATENATE($F27,"_",BN$4),P1125_4,MATCH(BN$3,PAAC!$E$19:$M$19,0),0)),"",VLOOKUP(CONCATENATE($F27,"_",BN$4),P1125_4,MATCH(BN$3,PAAC!$E$19:$M$19,0),0)),"")</f>
        <v/>
      </c>
      <c r="BO27" s="129" t="str">
        <f>+IFERROR(IF(ISBLANK(VLOOKUP(CONCATENATE($F27,"_",BO$4),P1125_4,MATCH(BO$3,PAAC!$E$19:$M$19,0),0)),"",VLOOKUP(CONCATENATE($F27,"_",BO$4),P1125_4,MATCH(BO$3,PAAC!$E$19:$M$19,0),0)),"")</f>
        <v/>
      </c>
      <c r="BP27" s="129" t="str">
        <f>+IFERROR(IF(ISBLANK(VLOOKUP(CONCATENATE($F27,"_",BP$4),P1125_4,MATCH(BP$3,PAAC!$E$19:$M$19,0),0)),"",VLOOKUP(CONCATENATE($F27,"_",BP$4),P1125_4,MATCH(BP$3,PAAC!$E$19:$M$19,0),0)),"")</f>
        <v/>
      </c>
      <c r="BQ27" s="129" t="str">
        <f>+IFERROR(IF(ISBLANK(VLOOKUP(CONCATENATE($F27,"_",BQ$4),P1125_4,MATCH(BQ$3,PAAC!$E$19:$M$19,0),0)),"",VLOOKUP(CONCATENATE($F27,"_",BQ$4),P1125_4,MATCH(BQ$3,PAAC!$E$19:$M$19,0),0)),"")</f>
        <v/>
      </c>
      <c r="BR27" s="129" t="str">
        <f>+IFERROR(IF(ISBLANK(VLOOKUP(CONCATENATE($F27,"_",BR$4),P1125_4,MATCH(BR$3,PAAC!$E$19:$M$19,0),0)),"",VLOOKUP(CONCATENATE($F27,"_",BR$4),P1125_4,MATCH(BR$3,PAAC!$E$19:$M$19,0),0)),"")</f>
        <v/>
      </c>
      <c r="BS27" s="129" t="str">
        <f>+IFERROR(IF(ISBLANK(VLOOKUP(CONCATENATE($F27,"_",BS$4),P1125_4,MATCH(BS$3,PAAC!$E$19:$M$19,0),0)),"",VLOOKUP(CONCATENATE($F27,"_",BS$4),P1125_4,MATCH(BS$3,PAAC!$E$19:$M$19,0),0)),"")</f>
        <v/>
      </c>
      <c r="BT27" s="129" t="str">
        <f>+IFERROR(IF(ISBLANK(VLOOKUP(CONCATENATE($F27,"_",BT$4),P1125_4,MATCH(BT$3,PAAC!$E$19:$M$19,0),0)),"",VLOOKUP(CONCATENATE($F27,"_",BT$4),P1125_4,MATCH(BT$3,PAAC!$E$19:$M$19,0),0)),"")</f>
        <v/>
      </c>
      <c r="BU27" s="129" t="str">
        <f>+IFERROR(IF(ISBLANK(VLOOKUP(CONCATENATE($F27,"_",BU$4),P1125_4,MATCH(BU$3,PAAC!$E$19:$M$19,0),0)),"",VLOOKUP(CONCATENATE($F27,"_",BU$4),P1125_4,MATCH(BU$3,PAAC!$E$19:$M$19,0),0)),"")</f>
        <v/>
      </c>
      <c r="BV27" s="129" t="str">
        <f>+IFERROR(IF(ISBLANK(VLOOKUP(CONCATENATE($F27,"_",BV$4),P1125_4,MATCH(BV$3,PAAC!$E$19:$M$19,0),0)),"",VLOOKUP(CONCATENATE($F27,"_",BV$4),P1125_4,MATCH(BV$3,PAAC!$E$19:$M$19,0),0)),"")</f>
        <v/>
      </c>
      <c r="BW27" s="129" t="str">
        <f>+IFERROR(IF(ISBLANK(VLOOKUP(CONCATENATE($F27,"_",BW$4),P1125_4,MATCH(BW$3,PAAC!$E$19:$M$19,0),0)),"",VLOOKUP(CONCATENATE($F27,"_",BW$4),P1125_4,MATCH(BW$3,PAAC!$E$19:$M$19,0),0)),"")</f>
        <v/>
      </c>
      <c r="BX27" s="129" t="str">
        <f>+IFERROR(IF(ISBLANK(VLOOKUP(CONCATENATE($F27,"_",BX$4),P1125_4,MATCH(BX$3,PAAC!$E$19:$M$19,0),0)),"",VLOOKUP(CONCATENATE($F27,"_",BX$4),P1125_4,MATCH(BX$3,PAAC!$E$19:$M$19,0),0)),"")</f>
        <v/>
      </c>
      <c r="BY27" s="129" t="str">
        <f>+IFERROR(IF(ISBLANK(VLOOKUP(CONCATENATE($F27,"_",BY$4),P1125_4,MATCH(BY$3,PAAC!$E$19:$M$19,0),0)),"",VLOOKUP(CONCATENATE($F27,"_",BY$4),P1125_4,MATCH(BY$3,PAAC!$E$19:$M$19,0),0)),"")</f>
        <v/>
      </c>
      <c r="BZ27" s="129" t="str">
        <f>+IFERROR(IF(ISBLANK(VLOOKUP(CONCATENATE($F27,"_",BZ$4),P1125_4,MATCH(BZ$3,PAAC!$E$19:$M$19,0),0)),"",VLOOKUP(CONCATENATE($F27,"_",BZ$4),P1125_4,MATCH(BZ$3,PAAC!$E$19:$M$19,0),0)),"")</f>
        <v/>
      </c>
      <c r="CA27" s="129" t="str">
        <f>+IFERROR(IF(ISBLANK(VLOOKUP(CONCATENATE($F27,"_",CA$4),P1125_4,MATCH(CA$3,PAAC!$E$19:$M$19,0),0)),"",VLOOKUP(CONCATENATE($F27,"_",CA$4),P1125_4,MATCH(CA$3,PAAC!$E$19:$M$19,0),0)),"")</f>
        <v/>
      </c>
      <c r="CB27" s="129" t="str">
        <f>+IFERROR(IF(ISBLANK(VLOOKUP(CONCATENATE($F27,"_",CB$4),P1125_4,MATCH(CB$3,PAAC!$E$19:$M$19,0),0)),"",VLOOKUP(CONCATENATE($F27,"_",CB$4),P1125_4,MATCH(CB$3,PAAC!$E$19:$M$19,0),0)),"")</f>
        <v/>
      </c>
      <c r="CC27" s="129" t="str">
        <f>+IFERROR(IF(ISBLANK(VLOOKUP(CONCATENATE($F27,"_",CC$4),P1125_4,MATCH(CC$3,PAAC!$E$19:$M$19,0),0)),"",VLOOKUP(CONCATENATE($F27,"_",CC$4),P1125_4,MATCH(CC$3,PAAC!$E$19:$M$19,0),0)),"")</f>
        <v/>
      </c>
      <c r="CD27" s="129" t="str">
        <f t="shared" si="11"/>
        <v/>
      </c>
      <c r="CE27" s="129" t="str">
        <f t="shared" si="3"/>
        <v/>
      </c>
      <c r="CF27" s="129" t="str">
        <f t="shared" si="4"/>
        <v/>
      </c>
      <c r="CG27" s="129" t="str">
        <f t="shared" si="5"/>
        <v/>
      </c>
      <c r="CH27" s="129" t="str">
        <f t="shared" si="6"/>
        <v/>
      </c>
      <c r="CI27" t="str">
        <f t="shared" si="22"/>
        <v>Cumple</v>
      </c>
      <c r="CJ27" t="str">
        <f t="shared" si="22"/>
        <v>Cumplido</v>
      </c>
      <c r="CK27" t="str">
        <f t="shared" si="22"/>
        <v>Adecuado</v>
      </c>
      <c r="CL27" t="str">
        <f t="shared" si="22"/>
        <v>Coherente</v>
      </c>
      <c r="CM27" t="str">
        <f t="shared" si="22"/>
        <v>Concuerda</v>
      </c>
      <c r="CN27" t="str">
        <f t="shared" si="22"/>
        <v>Concuerda</v>
      </c>
      <c r="CO27">
        <f t="shared" si="22"/>
        <v>0</v>
      </c>
      <c r="CP27" t="str">
        <f t="shared" si="22"/>
        <v>Adecuado</v>
      </c>
      <c r="CQ27" t="str">
        <f t="shared" si="22"/>
        <v>Oportuna</v>
      </c>
      <c r="CR27" t="str">
        <f t="shared" si="22"/>
        <v>Ninguna</v>
      </c>
      <c r="CS27" t="str">
        <f t="shared" si="23"/>
        <v>Marcela Andrea García Guerrero</v>
      </c>
      <c r="CT27" t="str">
        <f t="shared" si="23"/>
        <v>No aplica</v>
      </c>
      <c r="CU27" t="str">
        <f t="shared" si="23"/>
        <v>No aplica</v>
      </c>
      <c r="CV27" t="str">
        <f t="shared" si="23"/>
        <v>No aplica</v>
      </c>
      <c r="CW27" t="str">
        <f t="shared" si="23"/>
        <v>No aplica</v>
      </c>
      <c r="CX27" t="str">
        <f t="shared" si="23"/>
        <v>No aplica</v>
      </c>
      <c r="CY27" t="str">
        <f t="shared" si="23"/>
        <v>No aplica</v>
      </c>
      <c r="CZ27">
        <f t="shared" si="23"/>
        <v>0</v>
      </c>
      <c r="DA27" t="str">
        <f t="shared" si="23"/>
        <v>No aplica</v>
      </c>
      <c r="DB27" t="str">
        <f t="shared" si="23"/>
        <v>No aplica</v>
      </c>
      <c r="DC27" t="str">
        <f t="shared" si="24"/>
        <v>No aplica</v>
      </c>
      <c r="DD27">
        <f t="shared" si="24"/>
        <v>0</v>
      </c>
      <c r="DE27" t="e">
        <f t="shared" si="24"/>
        <v>#REF!</v>
      </c>
      <c r="DF27" t="e">
        <f t="shared" si="24"/>
        <v>#REF!</v>
      </c>
      <c r="DG27" t="e">
        <f t="shared" si="24"/>
        <v>#REF!</v>
      </c>
      <c r="DH27" t="e">
        <f t="shared" si="24"/>
        <v>#REF!</v>
      </c>
      <c r="DI27" t="e">
        <f t="shared" si="24"/>
        <v>#REF!</v>
      </c>
      <c r="DJ27" t="e">
        <f t="shared" si="24"/>
        <v>#REF!</v>
      </c>
      <c r="DK27" t="e">
        <f t="shared" si="24"/>
        <v>#REF!</v>
      </c>
      <c r="DL27" t="e">
        <f t="shared" si="24"/>
        <v>#REF!</v>
      </c>
      <c r="DM27" t="e">
        <f t="shared" si="25"/>
        <v>#REF!</v>
      </c>
      <c r="DN27" t="e">
        <f t="shared" si="25"/>
        <v>#REF!</v>
      </c>
      <c r="DO27" t="e">
        <f t="shared" si="25"/>
        <v>#REF!</v>
      </c>
      <c r="DP27" t="e">
        <f t="shared" si="25"/>
        <v>#REF!</v>
      </c>
      <c r="DQ27" t="e">
        <f t="shared" si="25"/>
        <v>#REF!</v>
      </c>
      <c r="DR27" t="e">
        <f t="shared" si="25"/>
        <v>#REF!</v>
      </c>
      <c r="DS27" t="e">
        <f t="shared" si="25"/>
        <v>#REF!</v>
      </c>
      <c r="DT27" t="e">
        <f t="shared" si="25"/>
        <v>#REF!</v>
      </c>
      <c r="DU27" t="e">
        <f t="shared" si="25"/>
        <v>#REF!</v>
      </c>
      <c r="DV27" t="e">
        <f t="shared" si="25"/>
        <v>#REF!</v>
      </c>
      <c r="DW27" t="e">
        <f t="shared" si="25"/>
        <v>#REF!</v>
      </c>
      <c r="DX27" t="e">
        <f t="shared" si="25"/>
        <v>#REF!</v>
      </c>
    </row>
    <row r="28" spans="1:128" x14ac:dyDescent="0.3">
      <c r="A28" s="423" t="str">
        <f t="shared" si="16"/>
        <v>174B</v>
      </c>
      <c r="B28" t="str">
        <f t="shared" si="17"/>
        <v>2_Oficina Alta Consejería para los Derechos de las Víctimas, la Paz y la Reconciliación</v>
      </c>
      <c r="C28">
        <f t="shared" si="8"/>
        <v>2</v>
      </c>
      <c r="D28" t="str">
        <f t="shared" si="0"/>
        <v>Oficina Alta Consejería para los Derechos de las Víctimas, la Paz y la Reconciliación</v>
      </c>
      <c r="E28" t="str">
        <f t="shared" si="1"/>
        <v>oav</v>
      </c>
      <c r="F28" s="208" t="str">
        <f>Consejerías!D13</f>
        <v>174B</v>
      </c>
      <c r="G28" t="str">
        <f t="shared" si="30"/>
        <v>Creciente</v>
      </c>
      <c r="H28" t="str">
        <f t="shared" si="30"/>
        <v>Porcentaje</v>
      </c>
      <c r="I28">
        <f t="shared" si="30"/>
        <v>0.66</v>
      </c>
      <c r="J28">
        <f t="shared" si="30"/>
        <v>1</v>
      </c>
      <c r="K28" t="str">
        <f>+IFERROR(VLOOKUP($F28,Consejerias_1,MATCH(K$5,Consejerías!$D$9:$V$9,0),0),"")</f>
        <v>Constante</v>
      </c>
      <c r="L28" t="str">
        <f>+IFERROR(VLOOKUP($F28,Consejerias_1,MATCH(L$5,Consejerías!$D$9:$V$9,0),0),"")</f>
        <v/>
      </c>
      <c r="M28">
        <f t="shared" si="9"/>
        <v>300</v>
      </c>
      <c r="N28">
        <f>+IFERROR(VLOOKUP($F28,Consejerias_1,MATCH(N$5,Consejerías!$D$9:$V$9,0),0),"")</f>
        <v>100</v>
      </c>
      <c r="O28">
        <f>+IFERROR(VLOOKUP($F28,Consejerias_1,MATCH(O$5,Consejerías!$D$9:$V$9,0),0),"")</f>
        <v>100</v>
      </c>
      <c r="P28">
        <f>+IFERROR(VLOOKUP($F28,Consejerias_1,MATCH(P$5,Consejerías!$D$9:$V$9,0),0),"")</f>
        <v>100</v>
      </c>
      <c r="Q28">
        <f>+IFERROR(VLOOKUP($F28,Consejerias_1,MATCH(Q$5,Consejerías!$D$9:$V$9,0),0),"")</f>
        <v>100</v>
      </c>
      <c r="R28">
        <f>+IFERROR(VLOOKUP($F28,Consejerias_1,MATCH(R$5,Consejerías!$D$9:$V$9,0),0),"")</f>
        <v>100</v>
      </c>
      <c r="S28">
        <f>+IFERROR(VLOOKUP($F28,Consejerias_1,MATCH(S$5,Consejerías!$D$9:$V$9,0),0),"")</f>
        <v>0</v>
      </c>
      <c r="T28">
        <f>+IFERROR(VLOOKUP($F28,Consejerias_1,MATCH(T$5,Consejerías!$D$9:$V$9,0),0),"")</f>
        <v>100</v>
      </c>
      <c r="U28" t="str">
        <f>+IFERROR(VLOOKUP($F28,Consejerias_1,MATCH(U$5,Consejerías!$D$9:$V$9,0),0),"")</f>
        <v>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v>
      </c>
      <c r="V28" t="str">
        <f>+IFERROR(VLOOKUP($F28,Consejerias_1,MATCH(V$5,Consejerías!$D$9:$V$9,0),0),"")</f>
        <v>Corresponde a las actividades que realiza el equipo de sistemas para realizar mejoras al sistema AVANTI, con ocasión de las mejoras solicitadas por las entidades.</v>
      </c>
      <c r="W28" t="str">
        <f>+IFERROR(VLOOKUP($F28,Consejerias_1,MATCH(W$5,Consejerías!$D$9:$V$9,0),0),"")</f>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
      <c r="X28" t="str">
        <f>+IFERROR(VLOOKUP($F28,Consejerias_1,MATCH(X$5,Consejerías!$D$9:$V$9,0),0),"")</f>
        <v>Evidencias y soportes que den cuenta del logro de los hitos trazados por año para la mejora del sistema.</v>
      </c>
      <c r="Y28">
        <f>+IFERROR(IF(ISBLANK(VLOOKUP(CONCATENATE($F28,"_",Y$4),Consejerias_2,MATCH(Y$3,Consejerías!$F$21:$O$21,0),0)),"",VLOOKUP(CONCATENATE($F28,"_",Y$4),Consejerias_2,MATCH(Y$3,Consejerías!$F$21:$O$21,0),0)),"")</f>
        <v>0</v>
      </c>
      <c r="Z28">
        <f>+IFERROR(IF(ISBLANK(VLOOKUP(CONCATENATE($F28,"_",Z$4),Consejerias_2,MATCH(Z$3,Consejerías!$F$21:$O$21,0),0)),"",VLOOKUP(CONCATENATE($F28,"_",Z$4),Consejerias_2,MATCH(Z$3,Consejerías!$F$21:$O$21,0),0)),"")</f>
        <v>0</v>
      </c>
      <c r="AA28" t="str">
        <f>+IFERROR(IF(ISBLANK(VLOOKUP(CONCATENATE($F28,"_",AA$4),Consejerias_2,MATCH(AA$3,Consejerías!$F$21:$O$21,0),0)),"",VLOOKUP(CONCATENATE($F28,"_",AA$4),Consejerias_2,MATCH(AA$3,Consejerías!$F$21:$O$21,0),0)),"")</f>
        <v>Para el mes de enero no se programaron actividades</v>
      </c>
      <c r="AB28" t="str">
        <f>+IFERROR(IF(ISBLANK(VLOOKUP(CONCATENATE($F28,"_",AB$4),Consejerias_2,MATCH(AB$3,Consejerías!$F$21:$O$21,0),0)),"",VLOOKUP(CONCATENATE($F28,"_",AB$4),Consejerias_2,MATCH(AB$3,Consejerías!$F$21:$O$21,0),0)),"")</f>
        <v>NA</v>
      </c>
      <c r="AC28" t="str">
        <f>+IFERROR(IF(ISBLANK(VLOOKUP(CONCATENATE($F28,"_",AC$4),Consejerias_2,MATCH(AC$3,Consejerías!$F$21:$O$21,0),0)),"",VLOOKUP(CONCATENATE($F28,"_",AC$4),Consejerias_2,MATCH(AC$3,Consejerías!$F$21:$O$21,0),0)),"")</f>
        <v>NA</v>
      </c>
      <c r="AD28">
        <f>+IFERROR(IF(ISBLANK(VLOOKUP(CONCATENATE($F28,"_",AD$4),Consejerias_2,MATCH(AD$3,Consejerías!$F$21:$O$21,0),0)),"",VLOOKUP(CONCATENATE($F28,"_",AD$4),Consejerias_2,MATCH(AD$3,Consejerías!$F$21:$O$21,0),0)),"")</f>
        <v>3</v>
      </c>
      <c r="AE28">
        <f>+IFERROR(IF(ISBLANK(VLOOKUP(CONCATENATE($F28,"_",AE$4),Consejerias_2,MATCH(AE$3,Consejerías!$F$21:$O$21,0),0)),"",VLOOKUP(CONCATENATE($F28,"_",AE$4),Consejerias_2,MATCH(AE$3,Consejerías!$F$21:$O$21,0),0)),"")</f>
        <v>3</v>
      </c>
      <c r="AF28" t="str">
        <f>+IFERROR(IF(ISBLANK(VLOOKUP(CONCATENATE($F28,"_",AF$4),Consejerias_2,MATCH(AF$3,Consejerías!$F$21:$O$21,0),0)),"",VLOOKUP(CONCATENATE($F28,"_",AF$4),Consejerias_2,MATCH(AF$3,Consejerías!$F$21:$O$21,0),0)),"")</f>
        <v xml:space="preserve">Durante el mes de febrero de 2020, se construyó el modelo de procesos de negocios, donde se describen los pasos a seguir para que una entidad distrital cargue masivamente en el sistema Avanti, sus respectivos seguimientos PAD.
1. Se socializaron los siguientes documentos con la nueva persona encargada de la administración funcional del sistema Avanti:
    1.1. Modelo de contexto del sistema
    1.2. Modelo de procesos de negocio para cargar seguimientos masivamente
    1.3. Estructura del acompañamiento técnico a entidades SDARIV
2. Se activaron las cuentas de usuario de las personas responsables por entidad en el ambiente de pruebas del sistema, de manera que el nuevo administrador funcional del sistema probara el cargue de los seguimientos de las entidades SDARIV. 
3. Posteriormente, se realizaron las respectivas adecuaciones a los archivos y proceder a cargar al ambiente de producción del sistema.
</v>
      </c>
      <c r="AG28" t="str">
        <f>+IFERROR(IF(ISBLANK(VLOOKUP(CONCATENATE($F28,"_",AG$4),Consejerias_2,MATCH(AG$3,Consejerías!$F$21:$O$21,0),0)),"",VLOOKUP(CONCATENATE($F28,"_",AG$4),Consejerias_2,MATCH(AG$3,Consejerías!$F$21:$O$21,0),0)),"")</f>
        <v>No se presentó ningún retraso</v>
      </c>
      <c r="AH28" t="str">
        <f>+IFERROR(IF(ISBLANK(VLOOKUP(CONCATENATE($F28,"_",AH$4),Consejerias_2,MATCH(AH$3,Consejerías!$F$21:$O$21,0),0)),"",VLOOKUP(CONCATENATE($F28,"_",AH$4),Consejerias_2,MATCH(AH$3,Consejerías!$F$21:$O$21,0),0)),"")</f>
        <v>Con la inducción al nuevo adrministrador del sistema se da continuidad a ejecución de la herramienta y se garantiza que el administrador pueda dar respuesta a las peticiones de los usuarios externos que hacen uso de ella.</v>
      </c>
      <c r="AI28">
        <f>+IFERROR(IF(ISBLANK(VLOOKUP(CONCATENATE($F28,"_",AI$4),Consejerias_2,MATCH(AI$3,Consejerías!$F$21:$O$21,0),0)),"",VLOOKUP(CONCATENATE($F28,"_",AI$4),Consejerias_2,MATCH(AI$3,Consejerías!$F$21:$O$21,0),0)),"")</f>
        <v>5</v>
      </c>
      <c r="AJ28">
        <f>+IFERROR(IF(ISBLANK(VLOOKUP(CONCATENATE($F28,"_",AJ$4),Consejerias_2,MATCH(AJ$3,Consejerías!$F$21:$O$21,0),0)),"",VLOOKUP(CONCATENATE($F28,"_",AJ$4),Consejerias_2,MATCH(AJ$3,Consejerías!$F$21:$O$21,0),0)),"")</f>
        <v>5</v>
      </c>
      <c r="AK28" t="str">
        <f>+IFERROR(IF(ISBLANK(VLOOKUP(CONCATENATE($F28,"_",AK$4),Consejerias_2,MATCH(AK$3,Consejerías!$F$21:$O$21,0),0)),"",VLOOKUP(CONCATENATE($F28,"_",AK$4),Consejerias_2,MATCH(AK$3,Consejerías!$F$21:$O$21,0),0)),"")</f>
        <v>Durante el mes de marzo de 2020, se inicio la construcción de nuevas funcionalidades, adecuando otras ya existentes en el sistema, de manera que se pueda adaptar a la inclusión de nuevas entidades que adquieran compromisos en el marco de la Política Pública de Víctimas. La intención es que si una o mas entidades ingresan al sistema en un corte específico, los cortes anteriores no se vean afectados respecto al avance en el cumplimento en la meta PAD, ni en el avance presupuestal, ni en ninguna otra cifra.
En tal sentido, en cada una de las pantallas del sistema con acceso de cara al ciudadano, se realizaron las siguientes actividades:
1. Adecuación en la sección de Metas PAD por componente en la vigencia de la página principal, donde se ajustó el conteo de metas PAD y el respectivo presupuesto aprobado por componente.
2. Adecuación en la gráfica Cumplimiento Meta PAD en la vigencia, donde se ajustó el cálculo del %, teniendo en cuenta nuevas entidades ingresadas.
- Adecuación en la gráfica Presupuesto PAD Plurianual de la página principal, donde se creó el cálculo automático de las series de la gráfica: Actualización aprobada por CDJT, Vigente y Ejecutado en cada una de las vigencias.
3. Adecuación del tablero de control por entidad, donde se ajustaron el conteo de metas PAD, el % de cumplimiento PAD, se agregó el % de cumplimiento de participación en PAD con base en el presupuesto aprobado, así como el presupuesto vigente y ejecutado. Adicionalmente, se ajustó la forma de calcular el avance en el cumplimiento de las metas PAD de manera histórica en una vigencia, así como el respectivo avance presupuestal histórico en la misma vigencia.
4. Adecuación del tablero de control por componente, donde se ajustaron el conteo de metas PAD, el % de cumplimiento PAD, se agregó el % de cumplimiento de participación en PAD con base en el presupuesto aprobado, así como el presupuesto vigente y ejecutado. Adicionalmente, se agregaron las gráficas de avance en el cumplimiento de las metas PAD de manera histórica en una vigencia, así como el respectivo avance presupuestal histórico en la misma vigencia.
5. Adecuación de la Vista por componentes en la vigencia, donde se ajustó el conteo de las metas PAD y el respectivo presupuesto aprobado por componente.
Cabe aclarar que todas las adecuaciones mencionadas incluyen ajustes, modificaciones y/o creaciones:
- En las consultas HQL y SQL utilizadas en la capa de acceso a datos de la arquitectura, 
- En la lógica utilizada en la capa de servicios de negocio de la arquitectura.
- En los métodos utilizados en los beans manejados de la capa de presentación de la arquitectura.</v>
      </c>
      <c r="AL28" t="str">
        <f>+IFERROR(IF(ISBLANK(VLOOKUP(CONCATENATE($F28,"_",AL$4),Consejerias_2,MATCH(AL$3,Consejerías!$F$21:$O$21,0),0)),"",VLOOKUP(CONCATENATE($F28,"_",AL$4),Consejerias_2,MATCH(AL$3,Consejerías!$F$21:$O$21,0),0)),"")</f>
        <v>No se presentó ningún retraso</v>
      </c>
      <c r="AM28" t="str">
        <f>+IFERROR(IF(ISBLANK(VLOOKUP(CONCATENATE($F28,"_",AM$4),Consejerias_2,MATCH(AM$3,Consejerías!$F$21:$O$21,0),0)),"",VLOOKUP(CONCATENATE($F28,"_",AM$4),Consejerias_2,MATCH(AM$3,Consejerías!$F$21:$O$21,0),0)),"")</f>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
      <c r="AN28">
        <f>+IFERROR(IF(ISBLANK(VLOOKUP(CONCATENATE($F28,"_",AN$4),Consejerias_2,MATCH(AN$3,Consejerías!$F$21:$O$21,0),0)),"",VLOOKUP(CONCATENATE($F28,"_",AN$4),Consejerias_2,MATCH(AN$3,Consejerías!$F$21:$O$21,0),0)),"")</f>
        <v>4</v>
      </c>
      <c r="AO28">
        <f>+IFERROR(IF(ISBLANK(VLOOKUP(CONCATENATE($F28,"_",AO$4),Consejerias_2,MATCH(AO$3,Consejerías!$F$21:$O$21,0),0)),"",VLOOKUP(CONCATENATE($F28,"_",AO$4),Consejerias_2,MATCH(AO$3,Consejerías!$F$21:$O$21,0),0)),"")</f>
        <v>4</v>
      </c>
      <c r="AP28" t="str">
        <f>+IFERROR(IF(ISBLANK(VLOOKUP(CONCATENATE($F28,"_",AP$4),Consejerias_2,MATCH(AP$3,Consejerías!$F$21:$O$21,0),0)),"",VLOOKUP(CONCATENATE($F28,"_",AP$4),Consejerias_2,MATCH(AP$3,Consejerías!$F$21:$O$21,0),0)),"")</f>
        <v xml:space="preserve">Durante el mes de abril se migro funcionalidades del sistema a la nueva arquitectura toda vez que el sistema se pensó inicialmente para brindar soporte a las 18 entidades que hacían parte del SDARIV en la vigencia 2017, por ello fue necesario rediseñar la arquitectura del sistema Avanti para que soportara la inclusión de nuevas entidades sin que se afecten las cifras reportadas en cortes de vigencias anteriores. 
En este mes se alcanzaron a completar las siguientes funcionalidades en el nivel de acceso público para cada una de las capas de la arquitectura:
1. Cumplimiento Meta PAD por vigencia.
2. Metas PAD por componente en vigencia
3. Mapa distrital con entidades SDARIV.
4. Presupuesto PAD Plurianual
A grandes rasgos el sistema se dividió en dos componentes:
1. Componente Back-en
En este componente se crearon las consultas SQL necesarias para extraer información de la base de datos, así como reestructuraciones en la lógica de negocio y controladores REST para exponer la funcionalidad vía protocolo HTTP. Para este componente se utilizó el siguiente stack de tecnologías:
- Spring Framework
- Rest Controllers
- FasterXML / Jackson
- Hibérnate
- PostgreSQL
2. Componente Front-en
En este componente se crearon las páginas con su respectivo controlador en typescript, así como los componentes reutilizables, pipes de datos y servicios para conectar con el componente back-en. Para este componente se utilizó el siguiente stack de tecnologías:
- Angular
- Highcharts
- Componentes
- Pipes
- Services
- Interfaces"
</v>
      </c>
      <c r="AQ28" t="str">
        <f>+IFERROR(IF(ISBLANK(VLOOKUP(CONCATENATE($F28,"_",AQ$4),Consejerias_2,MATCH(AQ$3,Consejerías!$F$21:$O$21,0),0)),"",VLOOKUP(CONCATENATE($F28,"_",AQ$4),Consejerias_2,MATCH(AQ$3,Consejerías!$F$21:$O$21,0),0)),"")</f>
        <v>No se presentó ningún retraso</v>
      </c>
      <c r="AR28" t="str">
        <f>+IFERROR(IF(ISBLANK(VLOOKUP(CONCATENATE($F28,"_",AR$4),Consejerias_2,MATCH(AR$3,Consejerías!$F$21:$O$21,0),0)),"",VLOOKUP(CONCATENATE($F28,"_",AR$4),Consejerias_2,MATCH(AR$3,Consejerías!$F$21:$O$21,0),0)),"")</f>
        <v>Se logra la ampliació del sistema para que brinde soporte a mas entidades y pueda seguir creciendo como sistema administrador de componentes de la politica de victimas.</v>
      </c>
      <c r="AS28">
        <f>+IFERROR(IF(ISBLANK(VLOOKUP(CONCATENATE($F28,"_",AS$4),Consejerias_2,MATCH(AS$3,Consejerías!$F$21:$O$21,0),0)),"",VLOOKUP(CONCATENATE($F28,"_",AS$4),Consejerias_2,MATCH(AS$3,Consejerías!$F$21:$O$21,0),0)),"")</f>
        <v>17</v>
      </c>
      <c r="AT28">
        <f>+IFERROR(IF(ISBLANK(VLOOKUP(CONCATENATE($F28,"_",AT$4),Consejerias_2,MATCH(AT$3,Consejerías!$F$21:$O$21,0),0)),"",VLOOKUP(CONCATENATE($F28,"_",AT$4),Consejerias_2,MATCH(AT$3,Consejerías!$F$21:$O$21,0),0)),"")</f>
        <v>17</v>
      </c>
      <c r="AU28" t="str">
        <f>+IFERROR(IF(ISBLANK(VLOOKUP(CONCATENATE($F28,"_",AU$4),Consejerias_2,MATCH(AU$3,Consejerías!$F$21:$O$21,0),0)),"",VLOOKUP(CONCATENATE($F28,"_",AU$4),Consejerias_2,MATCH(AU$3,Consejerías!$F$21:$O$21,0),0)),"")</f>
        <v xml:space="preserve">Durante el mes de mayo de 2020, se ha alcanzaron a completar las siguientes funcionalidades en el nivel de acceso público para cada una de las capas de la arquitectura:
1. Página inicial - Cumplimiento Meta PAD por vigencia.
2. Página inicial - Metas PAD por componente en vigencia.
3. Página inicial - Mapa distrital con entidades SDARIV.
4. Página inicial - Presupuesto PAD Plurianual.
5. Página Datos Abiertos - Búsqueda de datos abiertos por palabra clave en el nombre del archivo.
6. Página Datos Abiertos - Búsqueda de datos abiertos por entidad.
7. Página Datos Abiertos - Búsqueda de datos abiertos por componentes.
8. Página Tablero de control de entidad - Avance físico cumplimiento meta PAD.
9. Página Tablero de control de entidad - Avance presupuestal cumplimiento meta PAD.
10. Página Tablero de control de entidad - Datos abiertos de entidad por componente.
11. Página Metas PAD por entidad - Listado de metas
12. Página Metas PAD por entidad - Ficha técnica de meta seleccionada
13. Página Tablero de control de componente - Avance físico cumplimiento meta PAD.
14. Página Tablero de control de componente - Avance presupuestal cumplimiento meta PAD.
15. Página Tablero de control de componente - Datos abiertos de entidad por componente.
16. Página Metas PAD por componente - Listado de metas
17. Página Metas PAD por componente - Ficha técnica de meta seleccionada
Cabe aclarar que los cambios mencionados anteriormente en el sistema Avanti se encuentran en un ambiente de pruebas. 
</v>
      </c>
      <c r="AV28" t="str">
        <f>+IFERROR(IF(ISBLANK(VLOOKUP(CONCATENATE($F28,"_",AV$4),Consejerias_2,MATCH(AV$3,Consejerías!$F$21:$O$21,0),0)),"",VLOOKUP(CONCATENATE($F28,"_",AV$4),Consejerias_2,MATCH(AV$3,Consejerías!$F$21:$O$21,0),0)),"")</f>
        <v>No se presentó ningún retraso</v>
      </c>
      <c r="AW28" t="str">
        <f>+IFERROR(IF(ISBLANK(VLOOKUP(CONCATENATE($F28,"_",AW$4),Consejerias_2,MATCH(AW$3,Consejerías!$F$21:$O$21,0),0)),"",VLOOKUP(CONCATENATE($F28,"_",AW$4),Consejerias_2,MATCH(AW$3,Consejerías!$F$21:$O$21,0),0)),"")</f>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
      <c r="AX28" t="str">
        <f>+IFERROR(IF(ISBLANK(VLOOKUP(CONCATENATE($F28,"_",AX$4),Consejerias_2,MATCH(AX$3,Consejerías!$F$21:$O$21,0),0)),"",VLOOKUP(CONCATENATE($F28,"_",AX$4),Consejerias_2,MATCH(AX$3,Consejerías!$F$21:$O$21,0),0)),"")</f>
        <v/>
      </c>
      <c r="AY28" t="str">
        <f>+IFERROR(IF(ISBLANK(VLOOKUP(CONCATENATE($F28,"_",AY$4),Consejerias_2,MATCH(AY$3,Consejerías!$F$21:$O$21,0),0)),"",VLOOKUP(CONCATENATE($F28,"_",AY$4),Consejerias_2,MATCH(AY$3,Consejerías!$F$21:$O$21,0),0)),"")</f>
        <v/>
      </c>
      <c r="AZ28" t="str">
        <f>+IFERROR(IF(ISBLANK(VLOOKUP(CONCATENATE($F28,"_",AZ$4),Consejerias_2,MATCH(AZ$3,Consejerías!$F$21:$O$21,0),0)),"",VLOOKUP(CONCATENATE($F28,"_",AZ$4),Consejerias_2,MATCH(AZ$3,Consejerías!$F$21:$O$21,0),0)),"")</f>
        <v/>
      </c>
      <c r="BA28" t="str">
        <f>+IFERROR(IF(ISBLANK(VLOOKUP(CONCATENATE($F28,"_",BA$4),Consejerias_2,MATCH(BA$3,Consejerías!$F$21:$O$21,0),0)),"",VLOOKUP(CONCATENATE($F28,"_",BA$4),Consejerias_2,MATCH(BA$3,Consejerías!$F$21:$O$21,0),0)),"")</f>
        <v/>
      </c>
      <c r="BB28" t="str">
        <f>+IFERROR(IF(ISBLANK(VLOOKUP(CONCATENATE($F28,"_",BB$4),Consejerias_2,MATCH(BB$3,Consejerías!$F$21:$O$21,0),0)),"",VLOOKUP(CONCATENATE($F28,"_",BB$4),Consejerias_2,MATCH(BB$3,Consejerías!$F$21:$O$21,0),0)),"")</f>
        <v/>
      </c>
      <c r="BC28">
        <f t="shared" si="10"/>
        <v>29</v>
      </c>
      <c r="BD28">
        <f t="shared" si="10"/>
        <v>29</v>
      </c>
      <c r="BE28" s="129" t="str">
        <f>+IFERROR(IF(ISBLANK(VLOOKUP(CONCATENATE($F28,"_",BE$4),P1125_4,MATCH(BE$3,PAAC!$E$19:$M$19,0),0)),"",VLOOKUP(CONCATENATE($F28,"_",BE$4),P1125_4,MATCH(BE$3,PAAC!$E$19:$M$19,0),0)),"")</f>
        <v/>
      </c>
      <c r="BF28" s="129" t="str">
        <f>+IFERROR(IF(ISBLANK(VLOOKUP(CONCATENATE($F28,"_",BF$4),P1125_4,MATCH(BF$3,PAAC!$E$19:$M$19,0),0)),"",VLOOKUP(CONCATENATE($F28,"_",BF$4),P1125_4,MATCH(BF$3,PAAC!$E$19:$M$19,0),0)),"")</f>
        <v/>
      </c>
      <c r="BG28" s="129" t="str">
        <f>+IFERROR(IF(ISBLANK(VLOOKUP(CONCATENATE($F28,"_",BG$4),P1125_4,MATCH(BG$3,PAAC!$E$19:$M$19,0),0)),"",VLOOKUP(CONCATENATE($F28,"_",BG$4),P1125_4,MATCH(BG$3,PAAC!$E$19:$M$19,0),0)),"")</f>
        <v/>
      </c>
      <c r="BH28" s="129" t="str">
        <f>+IFERROR(IF(ISBLANK(VLOOKUP(CONCATENATE($F28,"_",BH$4),P1125_4,MATCH(BH$3,PAAC!$E$19:$M$19,0),0)),"",VLOOKUP(CONCATENATE($F28,"_",BH$4),P1125_4,MATCH(BH$3,PAAC!$E$19:$M$19,0),0)),"")</f>
        <v/>
      </c>
      <c r="BI28" s="129" t="str">
        <f>+IFERROR(IF(ISBLANK(VLOOKUP(CONCATENATE($F28,"_",BI$4),P1125_4,MATCH(BI$3,PAAC!$E$19:$M$19,0),0)),"",VLOOKUP(CONCATENATE($F28,"_",BI$4),P1125_4,MATCH(BI$3,PAAC!$E$19:$M$19,0),0)),"")</f>
        <v/>
      </c>
      <c r="BJ28" s="129" t="str">
        <f>+IFERROR(IF(ISBLANK(VLOOKUP(CONCATENATE($F28,"_",BJ$4),P1125_4,MATCH(BJ$3,PAAC!$E$19:$M$19,0),0)),"",VLOOKUP(CONCATENATE($F28,"_",BJ$4),P1125_4,MATCH(BJ$3,PAAC!$E$19:$M$19,0),0)),"")</f>
        <v/>
      </c>
      <c r="BK28" s="129" t="str">
        <f>+IFERROR(IF(ISBLANK(VLOOKUP(CONCATENATE($F28,"_",BK$4),P1125_4,MATCH(BK$3,PAAC!$E$19:$M$19,0),0)),"",VLOOKUP(CONCATENATE($F28,"_",BK$4),P1125_4,MATCH(BK$3,PAAC!$E$19:$M$19,0),0)),"")</f>
        <v/>
      </c>
      <c r="BL28" s="129" t="str">
        <f>+IFERROR(IF(ISBLANK(VLOOKUP(CONCATENATE($F28,"_",BL$4),P1125_4,MATCH(BL$3,PAAC!$E$19:$M$19,0),0)),"",VLOOKUP(CONCATENATE($F28,"_",BL$4),P1125_4,MATCH(BL$3,PAAC!$E$19:$M$19,0),0)),"")</f>
        <v/>
      </c>
      <c r="BM28" s="129" t="str">
        <f>+IFERROR(IF(ISBLANK(VLOOKUP(CONCATENATE($F28,"_",BM$4),P1125_4,MATCH(BM$3,PAAC!$E$19:$M$19,0),0)),"",VLOOKUP(CONCATENATE($F28,"_",BM$4),P1125_4,MATCH(BM$3,PAAC!$E$19:$M$19,0),0)),"")</f>
        <v/>
      </c>
      <c r="BN28" s="129" t="str">
        <f>+IFERROR(IF(ISBLANK(VLOOKUP(CONCATENATE($F28,"_",BN$4),P1125_4,MATCH(BN$3,PAAC!$E$19:$M$19,0),0)),"",VLOOKUP(CONCATENATE($F28,"_",BN$4),P1125_4,MATCH(BN$3,PAAC!$E$19:$M$19,0),0)),"")</f>
        <v/>
      </c>
      <c r="BO28" s="129" t="str">
        <f>+IFERROR(IF(ISBLANK(VLOOKUP(CONCATENATE($F28,"_",BO$4),P1125_4,MATCH(BO$3,PAAC!$E$19:$M$19,0),0)),"",VLOOKUP(CONCATENATE($F28,"_",BO$4),P1125_4,MATCH(BO$3,PAAC!$E$19:$M$19,0),0)),"")</f>
        <v/>
      </c>
      <c r="BP28" s="129" t="str">
        <f>+IFERROR(IF(ISBLANK(VLOOKUP(CONCATENATE($F28,"_",BP$4),P1125_4,MATCH(BP$3,PAAC!$E$19:$M$19,0),0)),"",VLOOKUP(CONCATENATE($F28,"_",BP$4),P1125_4,MATCH(BP$3,PAAC!$E$19:$M$19,0),0)),"")</f>
        <v/>
      </c>
      <c r="BQ28" s="129" t="str">
        <f>+IFERROR(IF(ISBLANK(VLOOKUP(CONCATENATE($F28,"_",BQ$4),P1125_4,MATCH(BQ$3,PAAC!$E$19:$M$19,0),0)),"",VLOOKUP(CONCATENATE($F28,"_",BQ$4),P1125_4,MATCH(BQ$3,PAAC!$E$19:$M$19,0),0)),"")</f>
        <v/>
      </c>
      <c r="BR28" s="129" t="str">
        <f>+IFERROR(IF(ISBLANK(VLOOKUP(CONCATENATE($F28,"_",BR$4),P1125_4,MATCH(BR$3,PAAC!$E$19:$M$19,0),0)),"",VLOOKUP(CONCATENATE($F28,"_",BR$4),P1125_4,MATCH(BR$3,PAAC!$E$19:$M$19,0),0)),"")</f>
        <v/>
      </c>
      <c r="BS28" s="129" t="str">
        <f>+IFERROR(IF(ISBLANK(VLOOKUP(CONCATENATE($F28,"_",BS$4),P1125_4,MATCH(BS$3,PAAC!$E$19:$M$19,0),0)),"",VLOOKUP(CONCATENATE($F28,"_",BS$4),P1125_4,MATCH(BS$3,PAAC!$E$19:$M$19,0),0)),"")</f>
        <v/>
      </c>
      <c r="BT28" s="129" t="str">
        <f>+IFERROR(IF(ISBLANK(VLOOKUP(CONCATENATE($F28,"_",BT$4),P1125_4,MATCH(BT$3,PAAC!$E$19:$M$19,0),0)),"",VLOOKUP(CONCATENATE($F28,"_",BT$4),P1125_4,MATCH(BT$3,PAAC!$E$19:$M$19,0),0)),"")</f>
        <v/>
      </c>
      <c r="BU28" s="129" t="str">
        <f>+IFERROR(IF(ISBLANK(VLOOKUP(CONCATENATE($F28,"_",BU$4),P1125_4,MATCH(BU$3,PAAC!$E$19:$M$19,0),0)),"",VLOOKUP(CONCATENATE($F28,"_",BU$4),P1125_4,MATCH(BU$3,PAAC!$E$19:$M$19,0),0)),"")</f>
        <v/>
      </c>
      <c r="BV28" s="129" t="str">
        <f>+IFERROR(IF(ISBLANK(VLOOKUP(CONCATENATE($F28,"_",BV$4),P1125_4,MATCH(BV$3,PAAC!$E$19:$M$19,0),0)),"",VLOOKUP(CONCATENATE($F28,"_",BV$4),P1125_4,MATCH(BV$3,PAAC!$E$19:$M$19,0),0)),"")</f>
        <v/>
      </c>
      <c r="BW28" s="129" t="str">
        <f>+IFERROR(IF(ISBLANK(VLOOKUP(CONCATENATE($F28,"_",BW$4),P1125_4,MATCH(BW$3,PAAC!$E$19:$M$19,0),0)),"",VLOOKUP(CONCATENATE($F28,"_",BW$4),P1125_4,MATCH(BW$3,PAAC!$E$19:$M$19,0),0)),"")</f>
        <v/>
      </c>
      <c r="BX28" s="129" t="str">
        <f>+IFERROR(IF(ISBLANK(VLOOKUP(CONCATENATE($F28,"_",BX$4),P1125_4,MATCH(BX$3,PAAC!$E$19:$M$19,0),0)),"",VLOOKUP(CONCATENATE($F28,"_",BX$4),P1125_4,MATCH(BX$3,PAAC!$E$19:$M$19,0),0)),"")</f>
        <v/>
      </c>
      <c r="BY28" s="129" t="str">
        <f>+IFERROR(IF(ISBLANK(VLOOKUP(CONCATENATE($F28,"_",BY$4),P1125_4,MATCH(BY$3,PAAC!$E$19:$M$19,0),0)),"",VLOOKUP(CONCATENATE($F28,"_",BY$4),P1125_4,MATCH(BY$3,PAAC!$E$19:$M$19,0),0)),"")</f>
        <v/>
      </c>
      <c r="BZ28" s="129" t="str">
        <f>+IFERROR(IF(ISBLANK(VLOOKUP(CONCATENATE($F28,"_",BZ$4),P1125_4,MATCH(BZ$3,PAAC!$E$19:$M$19,0),0)),"",VLOOKUP(CONCATENATE($F28,"_",BZ$4),P1125_4,MATCH(BZ$3,PAAC!$E$19:$M$19,0),0)),"")</f>
        <v/>
      </c>
      <c r="CA28" s="129" t="str">
        <f>+IFERROR(IF(ISBLANK(VLOOKUP(CONCATENATE($F28,"_",CA$4),P1125_4,MATCH(CA$3,PAAC!$E$19:$M$19,0),0)),"",VLOOKUP(CONCATENATE($F28,"_",CA$4),P1125_4,MATCH(CA$3,PAAC!$E$19:$M$19,0),0)),"")</f>
        <v/>
      </c>
      <c r="CB28" s="129" t="str">
        <f>+IFERROR(IF(ISBLANK(VLOOKUP(CONCATENATE($F28,"_",CB$4),P1125_4,MATCH(CB$3,PAAC!$E$19:$M$19,0),0)),"",VLOOKUP(CONCATENATE($F28,"_",CB$4),P1125_4,MATCH(CB$3,PAAC!$E$19:$M$19,0),0)),"")</f>
        <v/>
      </c>
      <c r="CC28" s="129" t="str">
        <f>+IFERROR(IF(ISBLANK(VLOOKUP(CONCATENATE($F28,"_",CC$4),P1125_4,MATCH(CC$3,PAAC!$E$19:$M$19,0),0)),"",VLOOKUP(CONCATENATE($F28,"_",CC$4),P1125_4,MATCH(CC$3,PAAC!$E$19:$M$19,0),0)),"")</f>
        <v/>
      </c>
      <c r="CD28" s="129" t="str">
        <f t="shared" si="11"/>
        <v/>
      </c>
      <c r="CE28" s="129" t="str">
        <f t="shared" si="3"/>
        <v/>
      </c>
      <c r="CF28" s="129" t="str">
        <f t="shared" si="4"/>
        <v/>
      </c>
      <c r="CG28" s="129" t="str">
        <f t="shared" si="5"/>
        <v/>
      </c>
      <c r="CH28" s="129" t="str">
        <f t="shared" si="6"/>
        <v/>
      </c>
      <c r="CI28" t="str">
        <f t="shared" si="22"/>
        <v>Cumple</v>
      </c>
      <c r="CJ28" t="str">
        <f t="shared" si="22"/>
        <v>Cumplido</v>
      </c>
      <c r="CK28" t="str">
        <f t="shared" si="22"/>
        <v>Adecuado</v>
      </c>
      <c r="CL28" t="str">
        <f t="shared" si="22"/>
        <v>Coherente</v>
      </c>
      <c r="CM28" t="str">
        <f t="shared" si="22"/>
        <v>Concuerda</v>
      </c>
      <c r="CN28" t="str">
        <f t="shared" si="22"/>
        <v>Concuerda</v>
      </c>
      <c r="CO28">
        <f t="shared" si="22"/>
        <v>0</v>
      </c>
      <c r="CP28" t="str">
        <f t="shared" si="22"/>
        <v>Adecuado</v>
      </c>
      <c r="CQ28" t="str">
        <f t="shared" si="22"/>
        <v>Oportuna</v>
      </c>
      <c r="CR28" t="str">
        <f t="shared" si="22"/>
        <v>Ninguna</v>
      </c>
      <c r="CS28" t="str">
        <f t="shared" si="23"/>
        <v>Marcela Andrea García Guerrero</v>
      </c>
      <c r="CT28" t="str">
        <f t="shared" si="23"/>
        <v>No aplica</v>
      </c>
      <c r="CU28" t="str">
        <f t="shared" si="23"/>
        <v>No aplica</v>
      </c>
      <c r="CV28" t="str">
        <f t="shared" si="23"/>
        <v>No aplica</v>
      </c>
      <c r="CW28" t="str">
        <f t="shared" si="23"/>
        <v>No aplica</v>
      </c>
      <c r="CX28" t="str">
        <f t="shared" si="23"/>
        <v>No aplica</v>
      </c>
      <c r="CY28" t="str">
        <f t="shared" si="23"/>
        <v>No aplica</v>
      </c>
      <c r="CZ28">
        <f t="shared" si="23"/>
        <v>0</v>
      </c>
      <c r="DA28" t="str">
        <f t="shared" si="23"/>
        <v>No aplica</v>
      </c>
      <c r="DB28" t="str">
        <f t="shared" si="23"/>
        <v>No aplica</v>
      </c>
      <c r="DC28" t="str">
        <f t="shared" si="24"/>
        <v>No aplica</v>
      </c>
      <c r="DD28">
        <f t="shared" si="24"/>
        <v>0</v>
      </c>
      <c r="DE28" t="e">
        <f t="shared" si="24"/>
        <v>#REF!</v>
      </c>
      <c r="DF28" t="e">
        <f t="shared" si="24"/>
        <v>#REF!</v>
      </c>
      <c r="DG28" t="e">
        <f t="shared" si="24"/>
        <v>#REF!</v>
      </c>
      <c r="DH28" t="e">
        <f t="shared" si="24"/>
        <v>#REF!</v>
      </c>
      <c r="DI28" t="e">
        <f t="shared" si="24"/>
        <v>#REF!</v>
      </c>
      <c r="DJ28" t="e">
        <f t="shared" si="24"/>
        <v>#REF!</v>
      </c>
      <c r="DK28" t="e">
        <f t="shared" si="24"/>
        <v>#REF!</v>
      </c>
      <c r="DL28" t="e">
        <f t="shared" si="24"/>
        <v>#REF!</v>
      </c>
      <c r="DM28" t="e">
        <f t="shared" si="25"/>
        <v>#REF!</v>
      </c>
      <c r="DN28" t="e">
        <f t="shared" si="25"/>
        <v>#REF!</v>
      </c>
      <c r="DO28" t="e">
        <f t="shared" si="25"/>
        <v>#REF!</v>
      </c>
      <c r="DP28" t="e">
        <f t="shared" si="25"/>
        <v>#REF!</v>
      </c>
      <c r="DQ28" t="e">
        <f t="shared" si="25"/>
        <v>#REF!</v>
      </c>
      <c r="DR28" t="e">
        <f t="shared" si="25"/>
        <v>#REF!</v>
      </c>
      <c r="DS28" t="e">
        <f t="shared" si="25"/>
        <v>#REF!</v>
      </c>
      <c r="DT28" t="e">
        <f t="shared" si="25"/>
        <v>#REF!</v>
      </c>
      <c r="DU28" t="e">
        <f t="shared" si="25"/>
        <v>#REF!</v>
      </c>
      <c r="DV28" t="e">
        <f t="shared" si="25"/>
        <v>#REF!</v>
      </c>
      <c r="DW28" t="e">
        <f t="shared" si="25"/>
        <v>#REF!</v>
      </c>
      <c r="DX28" t="e">
        <f t="shared" si="25"/>
        <v>#REF!</v>
      </c>
    </row>
    <row r="29" spans="1:128" x14ac:dyDescent="0.3">
      <c r="A29" s="423" t="str">
        <f t="shared" si="16"/>
        <v>174C</v>
      </c>
      <c r="B29" t="str">
        <f t="shared" si="17"/>
        <v>3_Oficina Alta Consejería para los Derechos de las Víctimas, la Paz y la Reconciliación</v>
      </c>
      <c r="C29">
        <f t="shared" si="8"/>
        <v>3</v>
      </c>
      <c r="D29" t="str">
        <f t="shared" si="0"/>
        <v>Oficina Alta Consejería para los Derechos de las Víctimas, la Paz y la Reconciliación</v>
      </c>
      <c r="E29" t="str">
        <f t="shared" si="1"/>
        <v>oav</v>
      </c>
      <c r="F29" s="208" t="str">
        <f>Consejerías!D14</f>
        <v>174C</v>
      </c>
      <c r="G29" t="str">
        <f t="shared" si="30"/>
        <v>Constante</v>
      </c>
      <c r="H29" t="str">
        <f t="shared" si="30"/>
        <v>Porcentaje</v>
      </c>
      <c r="I29">
        <f t="shared" si="30"/>
        <v>1</v>
      </c>
      <c r="J29">
        <f t="shared" si="30"/>
        <v>1</v>
      </c>
      <c r="K29" t="str">
        <f>+IFERROR(VLOOKUP($F29,Consejerias_1,MATCH(K$5,Consejerías!$D$9:$V$9,0),0),"")</f>
        <v>Constante</v>
      </c>
      <c r="L29" t="str">
        <f>+IFERROR(VLOOKUP($F29,Consejerias_1,MATCH(L$5,Consejerías!$D$9:$V$9,0),0),"")</f>
        <v/>
      </c>
      <c r="M29">
        <f t="shared" si="9"/>
        <v>300</v>
      </c>
      <c r="N29">
        <f>+IFERROR(VLOOKUP($F29,Consejerias_1,MATCH(N$5,Consejerías!$D$9:$V$9,0),0),"")</f>
        <v>100</v>
      </c>
      <c r="O29">
        <f>+IFERROR(VLOOKUP($F29,Consejerias_1,MATCH(O$5,Consejerías!$D$9:$V$9,0),0),"")</f>
        <v>100</v>
      </c>
      <c r="P29">
        <f>+IFERROR(VLOOKUP($F29,Consejerias_1,MATCH(P$5,Consejerías!$D$9:$V$9,0),0),"")</f>
        <v>100</v>
      </c>
      <c r="Q29">
        <f>+IFERROR(VLOOKUP($F29,Consejerias_1,MATCH(Q$5,Consejerías!$D$9:$V$9,0),0),"")</f>
        <v>100</v>
      </c>
      <c r="R29">
        <f>+IFERROR(VLOOKUP($F29,Consejerias_1,MATCH(R$5,Consejerías!$D$9:$V$9,0),0),"")</f>
        <v>100</v>
      </c>
      <c r="S29">
        <f>+IFERROR(VLOOKUP($F29,Consejerias_1,MATCH(S$5,Consejerías!$D$9:$V$9,0),0),"")</f>
        <v>0</v>
      </c>
      <c r="T29">
        <f>+IFERROR(VLOOKUP($F29,Consejerias_1,MATCH(T$5,Consejerías!$D$9:$V$9,0),0),"")</f>
        <v>100</v>
      </c>
      <c r="U29" t="str">
        <f>+IFERROR(VLOOKUP($F29,Consejerias_1,MATCH(U$5,Consejerías!$D$9:$V$9,0),0),"")</f>
        <v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v>
      </c>
      <c r="V29" t="str">
        <f>+IFERROR(VLOOKUP($F29,Consejerias_1,MATCH(V$5,Consejerías!$D$9:$V$9,0),0),"")</f>
        <v>Corresponde a las entidades que solicitan medias de acreditación (usuarios y contraseñas) para acceder al sistema VIVANTO desarrollado por la AURIV</v>
      </c>
      <c r="W29" t="str">
        <f>+IFERROR(VLOOKUP($F29,Consejerias_1,MATCH(W$5,Consejerías!$D$9:$V$9,0),0),"")</f>
        <v>Permite el acceso a información consolidada de los diferentes sistemas de las entidades del SNARIV y  los marcos normativos que conforman el RUV (SIPOD, SIV, SIRAV y LEY 1448 de 2011), con las restricciones de seguridad y confidencialidad de la información.</v>
      </c>
      <c r="X29" t="str">
        <f>+IFERROR(VLOOKUP($F29,Consejerias_1,MATCH(X$5,Consejerías!$D$9:$V$9,0),0),"")</f>
        <v>Sistema de Información a Victimas - SIVIC- / Sistema de Información de Oferta -SIGO-</v>
      </c>
      <c r="Y29">
        <f>+IFERROR(IF(ISBLANK(VLOOKUP(CONCATENATE($F29,"_",Y$4),Consejerias_2,MATCH(Y$3,Consejerías!$F$21:$O$21,0),0)),"",VLOOKUP(CONCATENATE($F29,"_",Y$4),Consejerias_2,MATCH(Y$3,Consejerías!$F$21:$O$21,0),0)),"")</f>
        <v>33</v>
      </c>
      <c r="Z29">
        <f>+IFERROR(IF(ISBLANK(VLOOKUP(CONCATENATE($F29,"_",Z$4),Consejerias_2,MATCH(Z$3,Consejerías!$F$21:$O$21,0),0)),"",VLOOKUP(CONCATENATE($F29,"_",Z$4),Consejerias_2,MATCH(Z$3,Consejerías!$F$21:$O$21,0),0)),"")</f>
        <v>33</v>
      </c>
      <c r="AA29" t="str">
        <f>+IFERROR(IF(ISBLANK(VLOOKUP(CONCATENATE($F29,"_",AA$4),Consejerias_2,MATCH(AA$3,Consejerías!$F$21:$O$21,0),0)),"",VLOOKUP(CONCATENATE($F29,"_",AA$4),Consejerias_2,MATCH(AA$3,Consejerías!$F$21:$O$21,0),0)),"")</f>
        <v>En el mes de enero se gestionaron solicitudes de creación y/o activación a 33 usuarios Vivanto, 23 solicitudes de SDIS,  1 solicitud de SDS, 9 solicitudes de ACDVPR.</v>
      </c>
      <c r="AB29" t="str">
        <f>+IFERROR(IF(ISBLANK(VLOOKUP(CONCATENATE($F29,"_",AB$4),Consejerias_2,MATCH(AB$3,Consejerías!$F$21:$O$21,0),0)),"",VLOOKUP(CONCATENATE($F29,"_",AB$4),Consejerias_2,MATCH(AB$3,Consejerías!$F$21:$O$21,0),0)),"")</f>
        <v>No se presentó ningún retraso</v>
      </c>
      <c r="AC29" t="str">
        <f>+IFERROR(IF(ISBLANK(VLOOKUP(CONCATENATE($F29,"_",AC$4),Consejerias_2,MATCH(AC$3,Consejerías!$F$21:$O$21,0),0)),"",VLOOKUP(CONCATENATE($F29,"_",AC$4),Consejerias_2,MATCH(AC$3,Consejerías!$F$21:$O$21,0),0)),"")</f>
        <v>Estas acciones permiten a las entidades conocer la oferta distrital para la atención a víctimas del conflicto armado en el DC.</v>
      </c>
      <c r="AD29">
        <f>+IFERROR(IF(ISBLANK(VLOOKUP(CONCATENATE($F29,"_",AD$4),Consejerias_2,MATCH(AD$3,Consejerías!$F$21:$O$21,0),0)),"",VLOOKUP(CONCATENATE($F29,"_",AD$4),Consejerias_2,MATCH(AD$3,Consejerías!$F$21:$O$21,0),0)),"")</f>
        <v>0</v>
      </c>
      <c r="AE29">
        <f>+IFERROR(IF(ISBLANK(VLOOKUP(CONCATENATE($F29,"_",AE$4),Consejerias_2,MATCH(AE$3,Consejerías!$F$21:$O$21,0),0)),"",VLOOKUP(CONCATENATE($F29,"_",AE$4),Consejerias_2,MATCH(AE$3,Consejerías!$F$21:$O$21,0),0)),"")</f>
        <v>0</v>
      </c>
      <c r="AF29" t="str">
        <f>+IFERROR(IF(ISBLANK(VLOOKUP(CONCATENATE($F29,"_",AF$4),Consejerias_2,MATCH(AF$3,Consejerías!$F$21:$O$21,0),0)),"",VLOOKUP(CONCATENATE($F29,"_",AF$4),Consejerias_2,MATCH(AF$3,Consejerías!$F$21:$O$21,0),0)),"")</f>
        <v>No se recibieron solicitudes de creación de usuarios, ni asistencias técnicas.</v>
      </c>
      <c r="AG29" t="str">
        <f>+IFERROR(IF(ISBLANK(VLOOKUP(CONCATENATE($F29,"_",AG$4),Consejerias_2,MATCH(AG$3,Consejerías!$F$21:$O$21,0),0)),"",VLOOKUP(CONCATENATE($F29,"_",AG$4),Consejerias_2,MATCH(AG$3,Consejerías!$F$21:$O$21,0),0)),"")</f>
        <v>No se presentó ningún retraso</v>
      </c>
      <c r="AH29" t="str">
        <f>+IFERROR(IF(ISBLANK(VLOOKUP(CONCATENATE($F29,"_",AH$4),Consejerias_2,MATCH(AH$3,Consejerías!$F$21:$O$21,0),0)),"",VLOOKUP(CONCATENATE($F29,"_",AH$4),Consejerias_2,MATCH(AH$3,Consejerías!$F$21:$O$21,0),0)),"")</f>
        <v>NA</v>
      </c>
      <c r="AI29">
        <f>+IFERROR(IF(ISBLANK(VLOOKUP(CONCATENATE($F29,"_",AI$4),Consejerias_2,MATCH(AI$3,Consejerías!$F$21:$O$21,0),0)),"",VLOOKUP(CONCATENATE($F29,"_",AI$4),Consejerias_2,MATCH(AI$3,Consejerías!$F$21:$O$21,0),0)),"")</f>
        <v>0</v>
      </c>
      <c r="AJ29">
        <f>+IFERROR(IF(ISBLANK(VLOOKUP(CONCATENATE($F29,"_",AJ$4),Consejerias_2,MATCH(AJ$3,Consejerías!$F$21:$O$21,0),0)),"",VLOOKUP(CONCATENATE($F29,"_",AJ$4),Consejerias_2,MATCH(AJ$3,Consejerías!$F$21:$O$21,0),0)),"")</f>
        <v>0</v>
      </c>
      <c r="AK29" t="str">
        <f>+IFERROR(IF(ISBLANK(VLOOKUP(CONCATENATE($F29,"_",AK$4),Consejerias_2,MATCH(AK$3,Consejerías!$F$21:$O$21,0),0)),"",VLOOKUP(CONCATENATE($F29,"_",AK$4),Consejerias_2,MATCH(AK$3,Consejerías!$F$21:$O$21,0),0)),"")</f>
        <v>No se recibieron solicitudes de creación de usuarios, ni asistencias técnicas.</v>
      </c>
      <c r="AL29" t="str">
        <f>+IFERROR(IF(ISBLANK(VLOOKUP(CONCATENATE($F29,"_",AL$4),Consejerias_2,MATCH(AL$3,Consejerías!$F$21:$O$21,0),0)),"",VLOOKUP(CONCATENATE($F29,"_",AL$4),Consejerias_2,MATCH(AL$3,Consejerías!$F$21:$O$21,0),0)),"")</f>
        <v>No se presentó ningún retraso</v>
      </c>
      <c r="AM29" t="str">
        <f>+IFERROR(IF(ISBLANK(VLOOKUP(CONCATENATE($F29,"_",AM$4),Consejerias_2,MATCH(AM$3,Consejerías!$F$21:$O$21,0),0)),"",VLOOKUP(CONCATENATE($F29,"_",AM$4),Consejerias_2,MATCH(AM$3,Consejerías!$F$21:$O$21,0),0)),"")</f>
        <v>NA</v>
      </c>
      <c r="AN29">
        <f>+IFERROR(IF(ISBLANK(VLOOKUP(CONCATENATE($F29,"_",AN$4),Consejerias_2,MATCH(AN$3,Consejerías!$F$21:$O$21,0),0)),"",VLOOKUP(CONCATENATE($F29,"_",AN$4),Consejerias_2,MATCH(AN$3,Consejerías!$F$21:$O$21,0),0)),"")</f>
        <v>3</v>
      </c>
      <c r="AO29">
        <f>+IFERROR(IF(ISBLANK(VLOOKUP(CONCATENATE($F29,"_",AO$4),Consejerias_2,MATCH(AO$3,Consejerías!$F$21:$O$21,0),0)),"",VLOOKUP(CONCATENATE($F29,"_",AO$4),Consejerias_2,MATCH(AO$3,Consejerías!$F$21:$O$21,0),0)),"")</f>
        <v>3</v>
      </c>
      <c r="AP29" t="str">
        <f>+IFERROR(IF(ISBLANK(VLOOKUP(CONCATENATE($F29,"_",AP$4),Consejerias_2,MATCH(AP$3,Consejerías!$F$21:$O$21,0),0)),"",VLOOKUP(CONCATENATE($F29,"_",AP$4),Consejerias_2,MATCH(AP$3,Consejerías!$F$21:$O$21,0),0)),"")</f>
        <v>En el mes de abril se gestionaron solicitudes de creación y/o activación a 3 usuarios de la UARIV</v>
      </c>
      <c r="AQ29" t="str">
        <f>+IFERROR(IF(ISBLANK(VLOOKUP(CONCATENATE($F29,"_",AQ$4),Consejerias_2,MATCH(AQ$3,Consejerías!$F$21:$O$21,0),0)),"",VLOOKUP(CONCATENATE($F29,"_",AQ$4),Consejerias_2,MATCH(AQ$3,Consejerías!$F$21:$O$21,0),0)),"")</f>
        <v>No se presentó ningún retraso</v>
      </c>
      <c r="AR29" t="str">
        <f>+IFERROR(IF(ISBLANK(VLOOKUP(CONCATENATE($F29,"_",AR$4),Consejerias_2,MATCH(AR$3,Consejerías!$F$21:$O$21,0),0)),"",VLOOKUP(CONCATENATE($F29,"_",AR$4),Consejerias_2,MATCH(AR$3,Consejerías!$F$21:$O$21,0),0)),"")</f>
        <v>Estas acciones permiten a las entidades conocer la oferta distrital para la atención a víctimas del conflicto armado en el DC.</v>
      </c>
      <c r="AS29">
        <f>+IFERROR(IF(ISBLANK(VLOOKUP(CONCATENATE($F29,"_",AS$4),Consejerias_2,MATCH(AS$3,Consejerías!$F$21:$O$21,0),0)),"",VLOOKUP(CONCATENATE($F29,"_",AS$4),Consejerias_2,MATCH(AS$3,Consejerías!$F$21:$O$21,0),0)),"")</f>
        <v>4</v>
      </c>
      <c r="AT29">
        <f>+IFERROR(IF(ISBLANK(VLOOKUP(CONCATENATE($F29,"_",AT$4),Consejerias_2,MATCH(AT$3,Consejerías!$F$21:$O$21,0),0)),"",VLOOKUP(CONCATENATE($F29,"_",AT$4),Consejerias_2,MATCH(AT$3,Consejerías!$F$21:$O$21,0),0)),"")</f>
        <v>4</v>
      </c>
      <c r="AU29" t="str">
        <f>+IFERROR(IF(ISBLANK(VLOOKUP(CONCATENATE($F29,"_",AU$4),Consejerias_2,MATCH(AU$3,Consejerías!$F$21:$O$21,0),0)),"",VLOOKUP(CONCATENATE($F29,"_",AU$4),Consejerias_2,MATCH(AU$3,Consejerías!$F$21:$O$21,0),0)),"")</f>
        <v>En el mes de mayo se gestionaron solicitudes de creación y/o activación a 4 usuarios de la UARIV para acceso al Vivanto, en los formatos para la creación y/o actualización de las cuentas de cada persona.
Adicionalmente, se mantiene actualizada la bitácora de gestión de usuarios para el Sistema Vivanto.</v>
      </c>
      <c r="AV29" t="str">
        <f>+IFERROR(IF(ISBLANK(VLOOKUP(CONCATENATE($F29,"_",AV$4),Consejerias_2,MATCH(AV$3,Consejerías!$F$21:$O$21,0),0)),"",VLOOKUP(CONCATENATE($F29,"_",AV$4),Consejerias_2,MATCH(AV$3,Consejerías!$F$21:$O$21,0),0)),"")</f>
        <v>No se presentó ningún retraso</v>
      </c>
      <c r="AW29" t="str">
        <f>+IFERROR(IF(ISBLANK(VLOOKUP(CONCATENATE($F29,"_",AW$4),Consejerias_2,MATCH(AW$3,Consejerías!$F$21:$O$21,0),0)),"",VLOOKUP(CONCATENATE($F29,"_",AW$4),Consejerias_2,MATCH(AW$3,Consejerías!$F$21:$O$21,0),0)),"")</f>
        <v>Se actualizo la matriz de usuarios de VIVANTO</v>
      </c>
      <c r="AX29" t="str">
        <f>+IFERROR(IF(ISBLANK(VLOOKUP(CONCATENATE($F29,"_",AX$4),Consejerias_2,MATCH(AX$3,Consejerías!$F$21:$O$21,0),0)),"",VLOOKUP(CONCATENATE($F29,"_",AX$4),Consejerias_2,MATCH(AX$3,Consejerías!$F$21:$O$21,0),0)),"")</f>
        <v/>
      </c>
      <c r="AY29" t="str">
        <f>+IFERROR(IF(ISBLANK(VLOOKUP(CONCATENATE($F29,"_",AY$4),Consejerias_2,MATCH(AY$3,Consejerías!$F$21:$O$21,0),0)),"",VLOOKUP(CONCATENATE($F29,"_",AY$4),Consejerias_2,MATCH(AY$3,Consejerías!$F$21:$O$21,0),0)),"")</f>
        <v/>
      </c>
      <c r="AZ29" t="str">
        <f>+IFERROR(IF(ISBLANK(VLOOKUP(CONCATENATE($F29,"_",AZ$4),Consejerias_2,MATCH(AZ$3,Consejerías!$F$21:$O$21,0),0)),"",VLOOKUP(CONCATENATE($F29,"_",AZ$4),Consejerias_2,MATCH(AZ$3,Consejerías!$F$21:$O$21,0),0)),"")</f>
        <v/>
      </c>
      <c r="BA29" t="str">
        <f>+IFERROR(IF(ISBLANK(VLOOKUP(CONCATENATE($F29,"_",BA$4),Consejerias_2,MATCH(BA$3,Consejerías!$F$21:$O$21,0),0)),"",VLOOKUP(CONCATENATE($F29,"_",BA$4),Consejerias_2,MATCH(BA$3,Consejerías!$F$21:$O$21,0),0)),"")</f>
        <v/>
      </c>
      <c r="BB29" t="str">
        <f>+IFERROR(IF(ISBLANK(VLOOKUP(CONCATENATE($F29,"_",BB$4),Consejerias_2,MATCH(BB$3,Consejerías!$F$21:$O$21,0),0)),"",VLOOKUP(CONCATENATE($F29,"_",BB$4),Consejerias_2,MATCH(BB$3,Consejerías!$F$21:$O$21,0),0)),"")</f>
        <v/>
      </c>
      <c r="BC29">
        <f t="shared" si="10"/>
        <v>40</v>
      </c>
      <c r="BD29">
        <f t="shared" si="10"/>
        <v>40</v>
      </c>
      <c r="BE29" s="129" t="str">
        <f>+IFERROR(IF(ISBLANK(VLOOKUP(CONCATENATE($F29,"_",BE$4),P1125_4,MATCH(BE$3,PAAC!$E$19:$M$19,0),0)),"",VLOOKUP(CONCATENATE($F29,"_",BE$4),P1125_4,MATCH(BE$3,PAAC!$E$19:$M$19,0),0)),"")</f>
        <v/>
      </c>
      <c r="BF29" s="129" t="str">
        <f>+IFERROR(IF(ISBLANK(VLOOKUP(CONCATENATE($F29,"_",BF$4),P1125_4,MATCH(BF$3,PAAC!$E$19:$M$19,0),0)),"",VLOOKUP(CONCATENATE($F29,"_",BF$4),P1125_4,MATCH(BF$3,PAAC!$E$19:$M$19,0),0)),"")</f>
        <v/>
      </c>
      <c r="BG29" s="129" t="str">
        <f>+IFERROR(IF(ISBLANK(VLOOKUP(CONCATENATE($F29,"_",BG$4),P1125_4,MATCH(BG$3,PAAC!$E$19:$M$19,0),0)),"",VLOOKUP(CONCATENATE($F29,"_",BG$4),P1125_4,MATCH(BG$3,PAAC!$E$19:$M$19,0),0)),"")</f>
        <v/>
      </c>
      <c r="BH29" s="129" t="str">
        <f>+IFERROR(IF(ISBLANK(VLOOKUP(CONCATENATE($F29,"_",BH$4),P1125_4,MATCH(BH$3,PAAC!$E$19:$M$19,0),0)),"",VLOOKUP(CONCATENATE($F29,"_",BH$4),P1125_4,MATCH(BH$3,PAAC!$E$19:$M$19,0),0)),"")</f>
        <v/>
      </c>
      <c r="BI29" s="129" t="str">
        <f>+IFERROR(IF(ISBLANK(VLOOKUP(CONCATENATE($F29,"_",BI$4),P1125_4,MATCH(BI$3,PAAC!$E$19:$M$19,0),0)),"",VLOOKUP(CONCATENATE($F29,"_",BI$4),P1125_4,MATCH(BI$3,PAAC!$E$19:$M$19,0),0)),"")</f>
        <v/>
      </c>
      <c r="BJ29" s="129" t="str">
        <f>+IFERROR(IF(ISBLANK(VLOOKUP(CONCATENATE($F29,"_",BJ$4),P1125_4,MATCH(BJ$3,PAAC!$E$19:$M$19,0),0)),"",VLOOKUP(CONCATENATE($F29,"_",BJ$4),P1125_4,MATCH(BJ$3,PAAC!$E$19:$M$19,0),0)),"")</f>
        <v/>
      </c>
      <c r="BK29" s="129" t="str">
        <f>+IFERROR(IF(ISBLANK(VLOOKUP(CONCATENATE($F29,"_",BK$4),P1125_4,MATCH(BK$3,PAAC!$E$19:$M$19,0),0)),"",VLOOKUP(CONCATENATE($F29,"_",BK$4),P1125_4,MATCH(BK$3,PAAC!$E$19:$M$19,0),0)),"")</f>
        <v/>
      </c>
      <c r="BL29" s="129" t="str">
        <f>+IFERROR(IF(ISBLANK(VLOOKUP(CONCATENATE($F29,"_",BL$4),P1125_4,MATCH(BL$3,PAAC!$E$19:$M$19,0),0)),"",VLOOKUP(CONCATENATE($F29,"_",BL$4),P1125_4,MATCH(BL$3,PAAC!$E$19:$M$19,0),0)),"")</f>
        <v/>
      </c>
      <c r="BM29" s="129" t="str">
        <f>+IFERROR(IF(ISBLANK(VLOOKUP(CONCATENATE($F29,"_",BM$4),P1125_4,MATCH(BM$3,PAAC!$E$19:$M$19,0),0)),"",VLOOKUP(CONCATENATE($F29,"_",BM$4),P1125_4,MATCH(BM$3,PAAC!$E$19:$M$19,0),0)),"")</f>
        <v/>
      </c>
      <c r="BN29" s="129" t="str">
        <f>+IFERROR(IF(ISBLANK(VLOOKUP(CONCATENATE($F29,"_",BN$4),P1125_4,MATCH(BN$3,PAAC!$E$19:$M$19,0),0)),"",VLOOKUP(CONCATENATE($F29,"_",BN$4),P1125_4,MATCH(BN$3,PAAC!$E$19:$M$19,0),0)),"")</f>
        <v/>
      </c>
      <c r="BO29" s="129" t="str">
        <f>+IFERROR(IF(ISBLANK(VLOOKUP(CONCATENATE($F29,"_",BO$4),P1125_4,MATCH(BO$3,PAAC!$E$19:$M$19,0),0)),"",VLOOKUP(CONCATENATE($F29,"_",BO$4),P1125_4,MATCH(BO$3,PAAC!$E$19:$M$19,0),0)),"")</f>
        <v/>
      </c>
      <c r="BP29" s="129" t="str">
        <f>+IFERROR(IF(ISBLANK(VLOOKUP(CONCATENATE($F29,"_",BP$4),P1125_4,MATCH(BP$3,PAAC!$E$19:$M$19,0),0)),"",VLOOKUP(CONCATENATE($F29,"_",BP$4),P1125_4,MATCH(BP$3,PAAC!$E$19:$M$19,0),0)),"")</f>
        <v/>
      </c>
      <c r="BQ29" s="129" t="str">
        <f>+IFERROR(IF(ISBLANK(VLOOKUP(CONCATENATE($F29,"_",BQ$4),P1125_4,MATCH(BQ$3,PAAC!$E$19:$M$19,0),0)),"",VLOOKUP(CONCATENATE($F29,"_",BQ$4),P1125_4,MATCH(BQ$3,PAAC!$E$19:$M$19,0),0)),"")</f>
        <v/>
      </c>
      <c r="BR29" s="129" t="str">
        <f>+IFERROR(IF(ISBLANK(VLOOKUP(CONCATENATE($F29,"_",BR$4),P1125_4,MATCH(BR$3,PAAC!$E$19:$M$19,0),0)),"",VLOOKUP(CONCATENATE($F29,"_",BR$4),P1125_4,MATCH(BR$3,PAAC!$E$19:$M$19,0),0)),"")</f>
        <v/>
      </c>
      <c r="BS29" s="129" t="str">
        <f>+IFERROR(IF(ISBLANK(VLOOKUP(CONCATENATE($F29,"_",BS$4),P1125_4,MATCH(BS$3,PAAC!$E$19:$M$19,0),0)),"",VLOOKUP(CONCATENATE($F29,"_",BS$4),P1125_4,MATCH(BS$3,PAAC!$E$19:$M$19,0),0)),"")</f>
        <v/>
      </c>
      <c r="BT29" s="129" t="str">
        <f>+IFERROR(IF(ISBLANK(VLOOKUP(CONCATENATE($F29,"_",BT$4),P1125_4,MATCH(BT$3,PAAC!$E$19:$M$19,0),0)),"",VLOOKUP(CONCATENATE($F29,"_",BT$4),P1125_4,MATCH(BT$3,PAAC!$E$19:$M$19,0),0)),"")</f>
        <v/>
      </c>
      <c r="BU29" s="129" t="str">
        <f>+IFERROR(IF(ISBLANK(VLOOKUP(CONCATENATE($F29,"_",BU$4),P1125_4,MATCH(BU$3,PAAC!$E$19:$M$19,0),0)),"",VLOOKUP(CONCATENATE($F29,"_",BU$4),P1125_4,MATCH(BU$3,PAAC!$E$19:$M$19,0),0)),"")</f>
        <v/>
      </c>
      <c r="BV29" s="129" t="str">
        <f>+IFERROR(IF(ISBLANK(VLOOKUP(CONCATENATE($F29,"_",BV$4),P1125_4,MATCH(BV$3,PAAC!$E$19:$M$19,0),0)),"",VLOOKUP(CONCATENATE($F29,"_",BV$4),P1125_4,MATCH(BV$3,PAAC!$E$19:$M$19,0),0)),"")</f>
        <v/>
      </c>
      <c r="BW29" s="129" t="str">
        <f>+IFERROR(IF(ISBLANK(VLOOKUP(CONCATENATE($F29,"_",BW$4),P1125_4,MATCH(BW$3,PAAC!$E$19:$M$19,0),0)),"",VLOOKUP(CONCATENATE($F29,"_",BW$4),P1125_4,MATCH(BW$3,PAAC!$E$19:$M$19,0),0)),"")</f>
        <v/>
      </c>
      <c r="BX29" s="129" t="str">
        <f>+IFERROR(IF(ISBLANK(VLOOKUP(CONCATENATE($F29,"_",BX$4),P1125_4,MATCH(BX$3,PAAC!$E$19:$M$19,0),0)),"",VLOOKUP(CONCATENATE($F29,"_",BX$4),P1125_4,MATCH(BX$3,PAAC!$E$19:$M$19,0),0)),"")</f>
        <v/>
      </c>
      <c r="BY29" s="129" t="str">
        <f>+IFERROR(IF(ISBLANK(VLOOKUP(CONCATENATE($F29,"_",BY$4),P1125_4,MATCH(BY$3,PAAC!$E$19:$M$19,0),0)),"",VLOOKUP(CONCATENATE($F29,"_",BY$4),P1125_4,MATCH(BY$3,PAAC!$E$19:$M$19,0),0)),"")</f>
        <v/>
      </c>
      <c r="BZ29" s="129" t="str">
        <f>+IFERROR(IF(ISBLANK(VLOOKUP(CONCATENATE($F29,"_",BZ$4),P1125_4,MATCH(BZ$3,PAAC!$E$19:$M$19,0),0)),"",VLOOKUP(CONCATENATE($F29,"_",BZ$4),P1125_4,MATCH(BZ$3,PAAC!$E$19:$M$19,0),0)),"")</f>
        <v/>
      </c>
      <c r="CA29" s="129" t="str">
        <f>+IFERROR(IF(ISBLANK(VLOOKUP(CONCATENATE($F29,"_",CA$4),P1125_4,MATCH(CA$3,PAAC!$E$19:$M$19,0),0)),"",VLOOKUP(CONCATENATE($F29,"_",CA$4),P1125_4,MATCH(CA$3,PAAC!$E$19:$M$19,0),0)),"")</f>
        <v/>
      </c>
      <c r="CB29" s="129" t="str">
        <f>+IFERROR(IF(ISBLANK(VLOOKUP(CONCATENATE($F29,"_",CB$4),P1125_4,MATCH(CB$3,PAAC!$E$19:$M$19,0),0)),"",VLOOKUP(CONCATENATE($F29,"_",CB$4),P1125_4,MATCH(CB$3,PAAC!$E$19:$M$19,0),0)),"")</f>
        <v/>
      </c>
      <c r="CC29" s="129" t="str">
        <f>+IFERROR(IF(ISBLANK(VLOOKUP(CONCATENATE($F29,"_",CC$4),P1125_4,MATCH(CC$3,PAAC!$E$19:$M$19,0),0)),"",VLOOKUP(CONCATENATE($F29,"_",CC$4),P1125_4,MATCH(CC$3,PAAC!$E$19:$M$19,0),0)),"")</f>
        <v/>
      </c>
      <c r="CD29" s="129" t="str">
        <f t="shared" si="11"/>
        <v/>
      </c>
      <c r="CE29" s="129" t="str">
        <f t="shared" si="3"/>
        <v/>
      </c>
      <c r="CF29" s="129" t="str">
        <f t="shared" si="4"/>
        <v/>
      </c>
      <c r="CG29" s="129" t="str">
        <f t="shared" si="5"/>
        <v/>
      </c>
      <c r="CH29" s="129" t="str">
        <f t="shared" si="6"/>
        <v/>
      </c>
      <c r="CI29" t="str">
        <f t="shared" si="22"/>
        <v>Cumple</v>
      </c>
      <c r="CJ29" t="str">
        <f t="shared" si="22"/>
        <v>Cumplido</v>
      </c>
      <c r="CK29" t="str">
        <f t="shared" si="22"/>
        <v>Adecuado</v>
      </c>
      <c r="CL29" t="str">
        <f t="shared" si="22"/>
        <v>Coherente</v>
      </c>
      <c r="CM29" t="str">
        <f t="shared" si="22"/>
        <v>Concuerda</v>
      </c>
      <c r="CN29" t="str">
        <f t="shared" si="22"/>
        <v>Concuerda</v>
      </c>
      <c r="CO29">
        <f t="shared" si="22"/>
        <v>0</v>
      </c>
      <c r="CP29" t="str">
        <f t="shared" si="22"/>
        <v>Adecuado</v>
      </c>
      <c r="CQ29" t="str">
        <f t="shared" si="22"/>
        <v>Oportuna</v>
      </c>
      <c r="CR29" t="str">
        <f t="shared" si="22"/>
        <v>Ninguna</v>
      </c>
      <c r="CS29" t="str">
        <f t="shared" si="23"/>
        <v>Marcela Andrea García Guerrero</v>
      </c>
      <c r="CT29" t="str">
        <f t="shared" si="23"/>
        <v>No aplica</v>
      </c>
      <c r="CU29" t="str">
        <f t="shared" si="23"/>
        <v>No aplica</v>
      </c>
      <c r="CV29" t="str">
        <f t="shared" si="23"/>
        <v>No aplica</v>
      </c>
      <c r="CW29" t="str">
        <f t="shared" si="23"/>
        <v>No aplica</v>
      </c>
      <c r="CX29" t="str">
        <f t="shared" si="23"/>
        <v>No aplica</v>
      </c>
      <c r="CY29" t="str">
        <f t="shared" si="23"/>
        <v>No aplica</v>
      </c>
      <c r="CZ29">
        <f t="shared" si="23"/>
        <v>0</v>
      </c>
      <c r="DA29" t="str">
        <f t="shared" si="23"/>
        <v>No aplica</v>
      </c>
      <c r="DB29" t="str">
        <f t="shared" si="23"/>
        <v>No aplica</v>
      </c>
      <c r="DC29" t="str">
        <f t="shared" si="24"/>
        <v>No aplica</v>
      </c>
      <c r="DD29">
        <f t="shared" si="24"/>
        <v>0</v>
      </c>
      <c r="DE29" t="e">
        <f t="shared" si="24"/>
        <v>#REF!</v>
      </c>
      <c r="DF29" t="e">
        <f t="shared" si="24"/>
        <v>#REF!</v>
      </c>
      <c r="DG29" t="e">
        <f t="shared" si="24"/>
        <v>#REF!</v>
      </c>
      <c r="DH29" t="e">
        <f t="shared" si="24"/>
        <v>#REF!</v>
      </c>
      <c r="DI29" t="e">
        <f t="shared" si="24"/>
        <v>#REF!</v>
      </c>
      <c r="DJ29" t="e">
        <f t="shared" si="24"/>
        <v>#REF!</v>
      </c>
      <c r="DK29" t="e">
        <f t="shared" si="24"/>
        <v>#REF!</v>
      </c>
      <c r="DL29" t="e">
        <f t="shared" si="24"/>
        <v>#REF!</v>
      </c>
      <c r="DM29" t="e">
        <f t="shared" si="25"/>
        <v>#REF!</v>
      </c>
      <c r="DN29" t="e">
        <f t="shared" si="25"/>
        <v>#REF!</v>
      </c>
      <c r="DO29" t="e">
        <f t="shared" si="25"/>
        <v>#REF!</v>
      </c>
      <c r="DP29" t="e">
        <f t="shared" si="25"/>
        <v>#REF!</v>
      </c>
      <c r="DQ29" t="e">
        <f t="shared" si="25"/>
        <v>#REF!</v>
      </c>
      <c r="DR29" t="e">
        <f t="shared" si="25"/>
        <v>#REF!</v>
      </c>
      <c r="DS29" t="e">
        <f t="shared" si="25"/>
        <v>#REF!</v>
      </c>
      <c r="DT29" t="e">
        <f t="shared" si="25"/>
        <v>#REF!</v>
      </c>
      <c r="DU29" t="e">
        <f t="shared" si="25"/>
        <v>#REF!</v>
      </c>
      <c r="DV29" t="e">
        <f t="shared" si="25"/>
        <v>#REF!</v>
      </c>
      <c r="DW29" t="e">
        <f t="shared" si="25"/>
        <v>#REF!</v>
      </c>
      <c r="DX29" t="e">
        <f t="shared" si="25"/>
        <v>#REF!</v>
      </c>
    </row>
    <row r="30" spans="1:128" x14ac:dyDescent="0.3">
      <c r="A30" s="423" t="str">
        <f t="shared" si="16"/>
        <v>174D</v>
      </c>
      <c r="B30" t="str">
        <f t="shared" si="17"/>
        <v>4_Oficina Alta Consejería para los Derechos de las Víctimas, la Paz y la Reconciliación</v>
      </c>
      <c r="C30">
        <f t="shared" si="8"/>
        <v>4</v>
      </c>
      <c r="D30" t="str">
        <f t="shared" si="0"/>
        <v>Oficina Alta Consejería para los Derechos de las Víctimas, la Paz y la Reconciliación</v>
      </c>
      <c r="E30" t="str">
        <f t="shared" si="1"/>
        <v>oav</v>
      </c>
      <c r="F30" s="208" t="str">
        <f>Consejerías!D15</f>
        <v>174D</v>
      </c>
      <c r="G30" t="str">
        <f t="shared" si="30"/>
        <v>Constante</v>
      </c>
      <c r="H30" t="str">
        <f t="shared" si="30"/>
        <v>Porcentaje</v>
      </c>
      <c r="I30">
        <f t="shared" si="30"/>
        <v>1</v>
      </c>
      <c r="J30">
        <f t="shared" si="30"/>
        <v>1</v>
      </c>
      <c r="K30" t="str">
        <f>+IFERROR(VLOOKUP($F30,Consejerias_1,MATCH(K$5,Consejerías!$D$9:$V$9,0),0),"")</f>
        <v>Constante</v>
      </c>
      <c r="L30" t="str">
        <f>+IFERROR(VLOOKUP($F30,Consejerias_1,MATCH(L$5,Consejerías!$D$9:$V$9,0),0),"")</f>
        <v/>
      </c>
      <c r="M30">
        <f t="shared" si="9"/>
        <v>300</v>
      </c>
      <c r="N30">
        <f>+IFERROR(VLOOKUP($F30,Consejerias_1,MATCH(N$5,Consejerías!$D$9:$V$9,0),0),"")</f>
        <v>100</v>
      </c>
      <c r="O30">
        <f>+IFERROR(VLOOKUP($F30,Consejerias_1,MATCH(O$5,Consejerías!$D$9:$V$9,0),0),"")</f>
        <v>100</v>
      </c>
      <c r="P30">
        <f>+IFERROR(VLOOKUP($F30,Consejerias_1,MATCH(P$5,Consejerías!$D$9:$V$9,0),0),"")</f>
        <v>100</v>
      </c>
      <c r="Q30">
        <f>+IFERROR(VLOOKUP($F30,Consejerias_1,MATCH(Q$5,Consejerías!$D$9:$V$9,0),0),"")</f>
        <v>100</v>
      </c>
      <c r="R30">
        <f>+IFERROR(VLOOKUP($F30,Consejerias_1,MATCH(R$5,Consejerías!$D$9:$V$9,0),0),"")</f>
        <v>100</v>
      </c>
      <c r="S30">
        <f>+IFERROR(VLOOKUP($F30,Consejerias_1,MATCH(S$5,Consejerías!$D$9:$V$9,0),0),"")</f>
        <v>0</v>
      </c>
      <c r="T30">
        <f>+IFERROR(VLOOKUP($F30,Consejerias_1,MATCH(T$5,Consejerías!$D$9:$V$9,0),0),"")</f>
        <v>100</v>
      </c>
      <c r="U30" t="str">
        <f>+IFERROR(VLOOKUP($F30,Consejerias_1,MATCH(U$5,Consejerías!$D$9:$V$9,0),0),"")</f>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
      <c r="V30" t="str">
        <f>+IFERROR(VLOOKUP($F30,Consejerias_1,MATCH(V$5,Consejerías!$D$9:$V$9,0),0),"")</f>
        <v>Corresponde a las solicitudes de servicio tecnico, que ocasional las fallas o errores del Sistema SIGO que administra la oferta distrital de servicios.</v>
      </c>
      <c r="W30" t="str">
        <f>+IFERROR(VLOOKUP($F30,Consejerias_1,MATCH(W$5,Consejerías!$D$9:$V$9,0),0),"")</f>
        <v>Este proceso representa para los ciudadanos acceso condensado a la oferta de servicios que ofrece el Distrito Capital. Y para las entidades distritales representa la articulación e interoperatividad institucional (sinergia de procesos).</v>
      </c>
      <c r="X30" t="str">
        <f>+IFERROR(VLOOKUP($F30,Consejerias_1,MATCH(X$5,Consejerías!$D$9:$V$9,0),0),"")</f>
        <v>Sistema de Gestión de Oferta  - SIGO</v>
      </c>
      <c r="Y30">
        <f>+IFERROR(IF(ISBLANK(VLOOKUP(CONCATENATE($F30,"_",Y$4),Consejerias_2,MATCH(Y$3,Consejerías!$F$21:$O$21,0),0)),"",VLOOKUP(CONCATENATE($F30,"_",Y$4),Consejerias_2,MATCH(Y$3,Consejerías!$F$21:$O$21,0),0)),"")</f>
        <v>0</v>
      </c>
      <c r="Z30">
        <f>+IFERROR(IF(ISBLANK(VLOOKUP(CONCATENATE($F30,"_",Z$4),Consejerias_2,MATCH(Z$3,Consejerías!$F$21:$O$21,0),0)),"",VLOOKUP(CONCATENATE($F30,"_",Z$4),Consejerias_2,MATCH(Z$3,Consejerías!$F$21:$O$21,0),0)),"")</f>
        <v>0</v>
      </c>
      <c r="AA30" t="str">
        <f>+IFERROR(IF(ISBLANK(VLOOKUP(CONCATENATE($F30,"_",AA$4),Consejerias_2,MATCH(AA$3,Consejerías!$F$21:$O$21,0),0)),"",VLOOKUP(CONCATENATE($F30,"_",AA$4),Consejerias_2,MATCH(AA$3,Consejerías!$F$21:$O$21,0),0)),"")</f>
        <v>No se presenta solicitudes por parte de las entidades  Distritales.</v>
      </c>
      <c r="AB30" t="str">
        <f>+IFERROR(IF(ISBLANK(VLOOKUP(CONCATENATE($F30,"_",AB$4),Consejerias_2,MATCH(AB$3,Consejerías!$F$21:$O$21,0),0)),"",VLOOKUP(CONCATENATE($F30,"_",AB$4),Consejerias_2,MATCH(AB$3,Consejerías!$F$21:$O$21,0),0)),"")</f>
        <v>No se presenta retraso dado que este acompañamiento es realizado a demanda de las entidades.</v>
      </c>
      <c r="AC30" t="str">
        <f>+IFERROR(IF(ISBLANK(VLOOKUP(CONCATENATE($F30,"_",AC$4),Consejerias_2,MATCH(AC$3,Consejerías!$F$21:$O$21,0),0)),"",VLOOKUP(CONCATENATE($F30,"_",AC$4),Consejerias_2,MATCH(AC$3,Consejerías!$F$21:$O$21,0),0)),"")</f>
        <v>NA</v>
      </c>
      <c r="AD30">
        <f>+IFERROR(IF(ISBLANK(VLOOKUP(CONCATENATE($F30,"_",AD$4),Consejerias_2,MATCH(AD$3,Consejerías!$F$21:$O$21,0),0)),"",VLOOKUP(CONCATENATE($F30,"_",AD$4),Consejerias_2,MATCH(AD$3,Consejerías!$F$21:$O$21,0),0)),"")</f>
        <v>0</v>
      </c>
      <c r="AE30">
        <f>+IFERROR(IF(ISBLANK(VLOOKUP(CONCATENATE($F30,"_",AE$4),Consejerias_2,MATCH(AE$3,Consejerías!$F$21:$O$21,0),0)),"",VLOOKUP(CONCATENATE($F30,"_",AE$4),Consejerias_2,MATCH(AE$3,Consejerías!$F$21:$O$21,0),0)),"")</f>
        <v>0</v>
      </c>
      <c r="AF30" t="str">
        <f>+IFERROR(IF(ISBLANK(VLOOKUP(CONCATENATE($F30,"_",AF$4),Consejerias_2,MATCH(AF$3,Consejerías!$F$21:$O$21,0),0)),"",VLOOKUP(CONCATENATE($F30,"_",AF$4),Consejerias_2,MATCH(AF$3,Consejerías!$F$21:$O$21,0),0)),"")</f>
        <v>No se presenta solicitudes por parte de las entidades  Distritales.</v>
      </c>
      <c r="AG30" t="str">
        <f>+IFERROR(IF(ISBLANK(VLOOKUP(CONCATENATE($F30,"_",AG$4),Consejerias_2,MATCH(AG$3,Consejerías!$F$21:$O$21,0),0)),"",VLOOKUP(CONCATENATE($F30,"_",AG$4),Consejerias_2,MATCH(AG$3,Consejerías!$F$21:$O$21,0),0)),"")</f>
        <v>No se presenta retraso dado que este acompañamiento es realizado a demanda de las entidades.</v>
      </c>
      <c r="AH30" t="str">
        <f>+IFERROR(IF(ISBLANK(VLOOKUP(CONCATENATE($F30,"_",AH$4),Consejerias_2,MATCH(AH$3,Consejerías!$F$21:$O$21,0),0)),"",VLOOKUP(CONCATENATE($F30,"_",AH$4),Consejerias_2,MATCH(AH$3,Consejerías!$F$21:$O$21,0),0)),"")</f>
        <v>NA</v>
      </c>
      <c r="AI30">
        <f>+IFERROR(IF(ISBLANK(VLOOKUP(CONCATENATE($F30,"_",AI$4),Consejerias_2,MATCH(AI$3,Consejerías!$F$21:$O$21,0),0)),"",VLOOKUP(CONCATENATE($F30,"_",AI$4),Consejerias_2,MATCH(AI$3,Consejerías!$F$21:$O$21,0),0)),"")</f>
        <v>0</v>
      </c>
      <c r="AJ30">
        <f>+IFERROR(IF(ISBLANK(VLOOKUP(CONCATENATE($F30,"_",AJ$4),Consejerias_2,MATCH(AJ$3,Consejerías!$F$21:$O$21,0),0)),"",VLOOKUP(CONCATENATE($F30,"_",AJ$4),Consejerias_2,MATCH(AJ$3,Consejerías!$F$21:$O$21,0),0)),"")</f>
        <v>0</v>
      </c>
      <c r="AK30" t="str">
        <f>+IFERROR(IF(ISBLANK(VLOOKUP(CONCATENATE($F30,"_",AK$4),Consejerias_2,MATCH(AK$3,Consejerías!$F$21:$O$21,0),0)),"",VLOOKUP(CONCATENATE($F30,"_",AK$4),Consejerias_2,MATCH(AK$3,Consejerías!$F$21:$O$21,0),0)),"")</f>
        <v>No se presenta solicitudes por parte de las entidades  Distritales.</v>
      </c>
      <c r="AL30" t="str">
        <f>+IFERROR(IF(ISBLANK(VLOOKUP(CONCATENATE($F30,"_",AL$4),Consejerias_2,MATCH(AL$3,Consejerías!$F$21:$O$21,0),0)),"",VLOOKUP(CONCATENATE($F30,"_",AL$4),Consejerias_2,MATCH(AL$3,Consejerías!$F$21:$O$21,0),0)),"")</f>
        <v>No se presenta retraso dado que este acompañamiento es realizado a demanda de las entidades.</v>
      </c>
      <c r="AM30" t="str">
        <f>+IFERROR(IF(ISBLANK(VLOOKUP(CONCATENATE($F30,"_",AM$4),Consejerias_2,MATCH(AM$3,Consejerías!$F$21:$O$21,0),0)),"",VLOOKUP(CONCATENATE($F30,"_",AM$4),Consejerias_2,MATCH(AM$3,Consejerías!$F$21:$O$21,0),0)),"")</f>
        <v>NA</v>
      </c>
      <c r="AN30">
        <f>+IFERROR(IF(ISBLANK(VLOOKUP(CONCATENATE($F30,"_",AN$4),Consejerias_2,MATCH(AN$3,Consejerías!$F$21:$O$21,0),0)),"",VLOOKUP(CONCATENATE($F30,"_",AN$4),Consejerias_2,MATCH(AN$3,Consejerías!$F$21:$O$21,0),0)),"")</f>
        <v>0</v>
      </c>
      <c r="AO30">
        <f>+IFERROR(IF(ISBLANK(VLOOKUP(CONCATENATE($F30,"_",AO$4),Consejerias_2,MATCH(AO$3,Consejerías!$F$21:$O$21,0),0)),"",VLOOKUP(CONCATENATE($F30,"_",AO$4),Consejerias_2,MATCH(AO$3,Consejerías!$F$21:$O$21,0),0)),"")</f>
        <v>0</v>
      </c>
      <c r="AP30" t="str">
        <f>+IFERROR(IF(ISBLANK(VLOOKUP(CONCATENATE($F30,"_",AP$4),Consejerias_2,MATCH(AP$3,Consejerías!$F$21:$O$21,0),0)),"",VLOOKUP(CONCATENATE($F30,"_",AP$4),Consejerias_2,MATCH(AP$3,Consejerías!$F$21:$O$21,0),0)),"")</f>
        <v>No se presenta solicitudes por parte de las entidades  Distritales.</v>
      </c>
      <c r="AQ30" t="str">
        <f>+IFERROR(IF(ISBLANK(VLOOKUP(CONCATENATE($F30,"_",AQ$4),Consejerias_2,MATCH(AQ$3,Consejerías!$F$21:$O$21,0),0)),"",VLOOKUP(CONCATENATE($F30,"_",AQ$4),Consejerias_2,MATCH(AQ$3,Consejerías!$F$21:$O$21,0),0)),"")</f>
        <v>No se presenta retraso dado que este acompañamiento es realizado a demanda de las entidades.</v>
      </c>
      <c r="AR30" t="str">
        <f>+IFERROR(IF(ISBLANK(VLOOKUP(CONCATENATE($F30,"_",AR$4),Consejerias_2,MATCH(AR$3,Consejerías!$F$21:$O$21,0),0)),"",VLOOKUP(CONCATENATE($F30,"_",AR$4),Consejerias_2,MATCH(AR$3,Consejerías!$F$21:$O$21,0),0)),"")</f>
        <v>NA</v>
      </c>
      <c r="AS30">
        <f>+IFERROR(IF(ISBLANK(VLOOKUP(CONCATENATE($F30,"_",AS$4),Consejerias_2,MATCH(AS$3,Consejerías!$F$21:$O$21,0),0)),"",VLOOKUP(CONCATENATE($F30,"_",AS$4),Consejerias_2,MATCH(AS$3,Consejerías!$F$21:$O$21,0),0)),"")</f>
        <v>0</v>
      </c>
      <c r="AT30">
        <f>+IFERROR(IF(ISBLANK(VLOOKUP(CONCATENATE($F30,"_",AT$4),Consejerias_2,MATCH(AT$3,Consejerías!$F$21:$O$21,0),0)),"",VLOOKUP(CONCATENATE($F30,"_",AT$4),Consejerias_2,MATCH(AT$3,Consejerías!$F$21:$O$21,0),0)),"")</f>
        <v>0</v>
      </c>
      <c r="AU30" t="str">
        <f>+IFERROR(IF(ISBLANK(VLOOKUP(CONCATENATE($F30,"_",AU$4),Consejerias_2,MATCH(AU$3,Consejerías!$F$21:$O$21,0),0)),"",VLOOKUP(CONCATENATE($F30,"_",AU$4),Consejerias_2,MATCH(AU$3,Consejerías!$F$21:$O$21,0),0)),"")</f>
        <v>No se presenta solicitudes por parte de las entidades  Distritales.</v>
      </c>
      <c r="AV30" t="str">
        <f>+IFERROR(IF(ISBLANK(VLOOKUP(CONCATENATE($F30,"_",AV$4),Consejerias_2,MATCH(AV$3,Consejerías!$F$21:$O$21,0),0)),"",VLOOKUP(CONCATENATE($F30,"_",AV$4),Consejerias_2,MATCH(AV$3,Consejerías!$F$21:$O$21,0),0)),"")</f>
        <v>No se presenta retraso dado que este acompañamiento es realizado a demanda de las entidades.</v>
      </c>
      <c r="AW30" t="str">
        <f>+IFERROR(IF(ISBLANK(VLOOKUP(CONCATENATE($F30,"_",AW$4),Consejerias_2,MATCH(AW$3,Consejerías!$F$21:$O$21,0),0)),"",VLOOKUP(CONCATENATE($F30,"_",AW$4),Consejerias_2,MATCH(AW$3,Consejerías!$F$21:$O$21,0),0)),"")</f>
        <v>NA</v>
      </c>
      <c r="AX30" t="str">
        <f>+IFERROR(IF(ISBLANK(VLOOKUP(CONCATENATE($F30,"_",AX$4),Consejerias_2,MATCH(AX$3,Consejerías!$F$21:$O$21,0),0)),"",VLOOKUP(CONCATENATE($F30,"_",AX$4),Consejerias_2,MATCH(AX$3,Consejerías!$F$21:$O$21,0),0)),"")</f>
        <v/>
      </c>
      <c r="AY30" t="str">
        <f>+IFERROR(IF(ISBLANK(VLOOKUP(CONCATENATE($F30,"_",AY$4),Consejerias_2,MATCH(AY$3,Consejerías!$F$21:$O$21,0),0)),"",VLOOKUP(CONCATENATE($F30,"_",AY$4),Consejerias_2,MATCH(AY$3,Consejerías!$F$21:$O$21,0),0)),"")</f>
        <v/>
      </c>
      <c r="AZ30" t="str">
        <f>+IFERROR(IF(ISBLANK(VLOOKUP(CONCATENATE($F30,"_",AZ$4),Consejerias_2,MATCH(AZ$3,Consejerías!$F$21:$O$21,0),0)),"",VLOOKUP(CONCATENATE($F30,"_",AZ$4),Consejerias_2,MATCH(AZ$3,Consejerías!$F$21:$O$21,0),0)),"")</f>
        <v/>
      </c>
      <c r="BA30" t="str">
        <f>+IFERROR(IF(ISBLANK(VLOOKUP(CONCATENATE($F30,"_",BA$4),Consejerias_2,MATCH(BA$3,Consejerías!$F$21:$O$21,0),0)),"",VLOOKUP(CONCATENATE($F30,"_",BA$4),Consejerias_2,MATCH(BA$3,Consejerías!$F$21:$O$21,0),0)),"")</f>
        <v/>
      </c>
      <c r="BB30" t="str">
        <f>+IFERROR(IF(ISBLANK(VLOOKUP(CONCATENATE($F30,"_",BB$4),Consejerias_2,MATCH(BB$3,Consejerías!$F$21:$O$21,0),0)),"",VLOOKUP(CONCATENATE($F30,"_",BB$4),Consejerias_2,MATCH(BB$3,Consejerías!$F$21:$O$21,0),0)),"")</f>
        <v/>
      </c>
      <c r="BC30">
        <f t="shared" si="10"/>
        <v>0</v>
      </c>
      <c r="BD30">
        <f t="shared" si="10"/>
        <v>0</v>
      </c>
      <c r="BE30" s="129" t="str">
        <f>+IFERROR(IF(ISBLANK(VLOOKUP(CONCATENATE($F30,"_",BE$4),P1125_4,MATCH(BE$3,PAAC!$E$19:$M$19,0),0)),"",VLOOKUP(CONCATENATE($F30,"_",BE$4),P1125_4,MATCH(BE$3,PAAC!$E$19:$M$19,0),0)),"")</f>
        <v/>
      </c>
      <c r="BF30" s="129" t="str">
        <f>+IFERROR(IF(ISBLANK(VLOOKUP(CONCATENATE($F30,"_",BF$4),P1125_4,MATCH(BF$3,PAAC!$E$19:$M$19,0),0)),"",VLOOKUP(CONCATENATE($F30,"_",BF$4),P1125_4,MATCH(BF$3,PAAC!$E$19:$M$19,0),0)),"")</f>
        <v/>
      </c>
      <c r="BG30" s="129" t="str">
        <f>+IFERROR(IF(ISBLANK(VLOOKUP(CONCATENATE($F30,"_",BG$4),P1125_4,MATCH(BG$3,PAAC!$E$19:$M$19,0),0)),"",VLOOKUP(CONCATENATE($F30,"_",BG$4),P1125_4,MATCH(BG$3,PAAC!$E$19:$M$19,0),0)),"")</f>
        <v/>
      </c>
      <c r="BH30" s="129" t="str">
        <f>+IFERROR(IF(ISBLANK(VLOOKUP(CONCATENATE($F30,"_",BH$4),P1125_4,MATCH(BH$3,PAAC!$E$19:$M$19,0),0)),"",VLOOKUP(CONCATENATE($F30,"_",BH$4),P1125_4,MATCH(BH$3,PAAC!$E$19:$M$19,0),0)),"")</f>
        <v/>
      </c>
      <c r="BI30" s="129" t="str">
        <f>+IFERROR(IF(ISBLANK(VLOOKUP(CONCATENATE($F30,"_",BI$4),P1125_4,MATCH(BI$3,PAAC!$E$19:$M$19,0),0)),"",VLOOKUP(CONCATENATE($F30,"_",BI$4),P1125_4,MATCH(BI$3,PAAC!$E$19:$M$19,0),0)),"")</f>
        <v/>
      </c>
      <c r="BJ30" s="129" t="str">
        <f>+IFERROR(IF(ISBLANK(VLOOKUP(CONCATENATE($F30,"_",BJ$4),P1125_4,MATCH(BJ$3,PAAC!$E$19:$M$19,0),0)),"",VLOOKUP(CONCATENATE($F30,"_",BJ$4),P1125_4,MATCH(BJ$3,PAAC!$E$19:$M$19,0),0)),"")</f>
        <v/>
      </c>
      <c r="BK30" s="129" t="str">
        <f>+IFERROR(IF(ISBLANK(VLOOKUP(CONCATENATE($F30,"_",BK$4),P1125_4,MATCH(BK$3,PAAC!$E$19:$M$19,0),0)),"",VLOOKUP(CONCATENATE($F30,"_",BK$4),P1125_4,MATCH(BK$3,PAAC!$E$19:$M$19,0),0)),"")</f>
        <v/>
      </c>
      <c r="BL30" s="129" t="str">
        <f>+IFERROR(IF(ISBLANK(VLOOKUP(CONCATENATE($F30,"_",BL$4),P1125_4,MATCH(BL$3,PAAC!$E$19:$M$19,0),0)),"",VLOOKUP(CONCATENATE($F30,"_",BL$4),P1125_4,MATCH(BL$3,PAAC!$E$19:$M$19,0),0)),"")</f>
        <v/>
      </c>
      <c r="BM30" s="129" t="str">
        <f>+IFERROR(IF(ISBLANK(VLOOKUP(CONCATENATE($F30,"_",BM$4),P1125_4,MATCH(BM$3,PAAC!$E$19:$M$19,0),0)),"",VLOOKUP(CONCATENATE($F30,"_",BM$4),P1125_4,MATCH(BM$3,PAAC!$E$19:$M$19,0),0)),"")</f>
        <v/>
      </c>
      <c r="BN30" s="129" t="str">
        <f>+IFERROR(IF(ISBLANK(VLOOKUP(CONCATENATE($F30,"_",BN$4),P1125_4,MATCH(BN$3,PAAC!$E$19:$M$19,0),0)),"",VLOOKUP(CONCATENATE($F30,"_",BN$4),P1125_4,MATCH(BN$3,PAAC!$E$19:$M$19,0),0)),"")</f>
        <v/>
      </c>
      <c r="BO30" s="129" t="str">
        <f>+IFERROR(IF(ISBLANK(VLOOKUP(CONCATENATE($F30,"_",BO$4),P1125_4,MATCH(BO$3,PAAC!$E$19:$M$19,0),0)),"",VLOOKUP(CONCATENATE($F30,"_",BO$4),P1125_4,MATCH(BO$3,PAAC!$E$19:$M$19,0),0)),"")</f>
        <v/>
      </c>
      <c r="BP30" s="129" t="str">
        <f>+IFERROR(IF(ISBLANK(VLOOKUP(CONCATENATE($F30,"_",BP$4),P1125_4,MATCH(BP$3,PAAC!$E$19:$M$19,0),0)),"",VLOOKUP(CONCATENATE($F30,"_",BP$4),P1125_4,MATCH(BP$3,PAAC!$E$19:$M$19,0),0)),"")</f>
        <v/>
      </c>
      <c r="BQ30" s="129" t="str">
        <f>+IFERROR(IF(ISBLANK(VLOOKUP(CONCATENATE($F30,"_",BQ$4),P1125_4,MATCH(BQ$3,PAAC!$E$19:$M$19,0),0)),"",VLOOKUP(CONCATENATE($F30,"_",BQ$4),P1125_4,MATCH(BQ$3,PAAC!$E$19:$M$19,0),0)),"")</f>
        <v/>
      </c>
      <c r="BR30" s="129" t="str">
        <f>+IFERROR(IF(ISBLANK(VLOOKUP(CONCATENATE($F30,"_",BR$4),P1125_4,MATCH(BR$3,PAAC!$E$19:$M$19,0),0)),"",VLOOKUP(CONCATENATE($F30,"_",BR$4),P1125_4,MATCH(BR$3,PAAC!$E$19:$M$19,0),0)),"")</f>
        <v/>
      </c>
      <c r="BS30" s="129" t="str">
        <f>+IFERROR(IF(ISBLANK(VLOOKUP(CONCATENATE($F30,"_",BS$4),P1125_4,MATCH(BS$3,PAAC!$E$19:$M$19,0),0)),"",VLOOKUP(CONCATENATE($F30,"_",BS$4),P1125_4,MATCH(BS$3,PAAC!$E$19:$M$19,0),0)),"")</f>
        <v/>
      </c>
      <c r="BT30" s="129" t="str">
        <f>+IFERROR(IF(ISBLANK(VLOOKUP(CONCATENATE($F30,"_",BT$4),P1125_4,MATCH(BT$3,PAAC!$E$19:$M$19,0),0)),"",VLOOKUP(CONCATENATE($F30,"_",BT$4),P1125_4,MATCH(BT$3,PAAC!$E$19:$M$19,0),0)),"")</f>
        <v/>
      </c>
      <c r="BU30" s="129" t="str">
        <f>+IFERROR(IF(ISBLANK(VLOOKUP(CONCATENATE($F30,"_",BU$4),P1125_4,MATCH(BU$3,PAAC!$E$19:$M$19,0),0)),"",VLOOKUP(CONCATENATE($F30,"_",BU$4),P1125_4,MATCH(BU$3,PAAC!$E$19:$M$19,0),0)),"")</f>
        <v/>
      </c>
      <c r="BV30" s="129" t="str">
        <f>+IFERROR(IF(ISBLANK(VLOOKUP(CONCATENATE($F30,"_",BV$4),P1125_4,MATCH(BV$3,PAAC!$E$19:$M$19,0),0)),"",VLOOKUP(CONCATENATE($F30,"_",BV$4),P1125_4,MATCH(BV$3,PAAC!$E$19:$M$19,0),0)),"")</f>
        <v/>
      </c>
      <c r="BW30" s="129" t="str">
        <f>+IFERROR(IF(ISBLANK(VLOOKUP(CONCATENATE($F30,"_",BW$4),P1125_4,MATCH(BW$3,PAAC!$E$19:$M$19,0),0)),"",VLOOKUP(CONCATENATE($F30,"_",BW$4),P1125_4,MATCH(BW$3,PAAC!$E$19:$M$19,0),0)),"")</f>
        <v/>
      </c>
      <c r="BX30" s="129" t="str">
        <f>+IFERROR(IF(ISBLANK(VLOOKUP(CONCATENATE($F30,"_",BX$4),P1125_4,MATCH(BX$3,PAAC!$E$19:$M$19,0),0)),"",VLOOKUP(CONCATENATE($F30,"_",BX$4),P1125_4,MATCH(BX$3,PAAC!$E$19:$M$19,0),0)),"")</f>
        <v/>
      </c>
      <c r="BY30" s="129" t="str">
        <f>+IFERROR(IF(ISBLANK(VLOOKUP(CONCATENATE($F30,"_",BY$4),P1125_4,MATCH(BY$3,PAAC!$E$19:$M$19,0),0)),"",VLOOKUP(CONCATENATE($F30,"_",BY$4),P1125_4,MATCH(BY$3,PAAC!$E$19:$M$19,0),0)),"")</f>
        <v/>
      </c>
      <c r="BZ30" s="129" t="str">
        <f>+IFERROR(IF(ISBLANK(VLOOKUP(CONCATENATE($F30,"_",BZ$4),P1125_4,MATCH(BZ$3,PAAC!$E$19:$M$19,0),0)),"",VLOOKUP(CONCATENATE($F30,"_",BZ$4),P1125_4,MATCH(BZ$3,PAAC!$E$19:$M$19,0),0)),"")</f>
        <v/>
      </c>
      <c r="CA30" s="129" t="str">
        <f>+IFERROR(IF(ISBLANK(VLOOKUP(CONCATENATE($F30,"_",CA$4),P1125_4,MATCH(CA$3,PAAC!$E$19:$M$19,0),0)),"",VLOOKUP(CONCATENATE($F30,"_",CA$4),P1125_4,MATCH(CA$3,PAAC!$E$19:$M$19,0),0)),"")</f>
        <v/>
      </c>
      <c r="CB30" s="129" t="str">
        <f>+IFERROR(IF(ISBLANK(VLOOKUP(CONCATENATE($F30,"_",CB$4),P1125_4,MATCH(CB$3,PAAC!$E$19:$M$19,0),0)),"",VLOOKUP(CONCATENATE($F30,"_",CB$4),P1125_4,MATCH(CB$3,PAAC!$E$19:$M$19,0),0)),"")</f>
        <v/>
      </c>
      <c r="CC30" s="129" t="str">
        <f>+IFERROR(IF(ISBLANK(VLOOKUP(CONCATENATE($F30,"_",CC$4),P1125_4,MATCH(CC$3,PAAC!$E$19:$M$19,0),0)),"",VLOOKUP(CONCATENATE($F30,"_",CC$4),P1125_4,MATCH(CC$3,PAAC!$E$19:$M$19,0),0)),"")</f>
        <v/>
      </c>
      <c r="CD30" s="129" t="str">
        <f t="shared" si="11"/>
        <v/>
      </c>
      <c r="CE30" s="129" t="str">
        <f t="shared" si="3"/>
        <v/>
      </c>
      <c r="CF30" s="129" t="str">
        <f t="shared" si="4"/>
        <v/>
      </c>
      <c r="CG30" s="129" t="str">
        <f t="shared" si="5"/>
        <v/>
      </c>
      <c r="CH30" s="129" t="str">
        <f t="shared" si="6"/>
        <v/>
      </c>
      <c r="CI30" t="str">
        <f t="shared" si="22"/>
        <v>No aplica</v>
      </c>
      <c r="CJ30" t="str">
        <f t="shared" si="22"/>
        <v>Cumplido</v>
      </c>
      <c r="CK30" t="str">
        <f t="shared" si="22"/>
        <v>No aplica</v>
      </c>
      <c r="CL30" t="str">
        <f t="shared" si="22"/>
        <v>Coherente</v>
      </c>
      <c r="CM30" t="str">
        <f t="shared" si="22"/>
        <v>Concuerda</v>
      </c>
      <c r="CN30" t="str">
        <f t="shared" si="22"/>
        <v>Concuerda</v>
      </c>
      <c r="CO30">
        <f t="shared" si="22"/>
        <v>0</v>
      </c>
      <c r="CP30" t="str">
        <f t="shared" si="22"/>
        <v>No aplica</v>
      </c>
      <c r="CQ30" t="str">
        <f t="shared" si="22"/>
        <v>Oportuna</v>
      </c>
      <c r="CR30" t="str">
        <f t="shared" si="22"/>
        <v>Ninguna</v>
      </c>
      <c r="CS30" t="str">
        <f t="shared" si="23"/>
        <v>Marcela Andrea García Guerrero</v>
      </c>
      <c r="CT30" t="str">
        <f t="shared" si="23"/>
        <v>No aplica</v>
      </c>
      <c r="CU30" t="str">
        <f t="shared" si="23"/>
        <v>No aplica</v>
      </c>
      <c r="CV30" t="str">
        <f t="shared" si="23"/>
        <v>No aplica</v>
      </c>
      <c r="CW30" t="str">
        <f t="shared" si="23"/>
        <v>No aplica</v>
      </c>
      <c r="CX30" t="str">
        <f t="shared" si="23"/>
        <v>No aplica</v>
      </c>
      <c r="CY30" t="str">
        <f t="shared" si="23"/>
        <v>No aplica</v>
      </c>
      <c r="CZ30">
        <f t="shared" si="23"/>
        <v>0</v>
      </c>
      <c r="DA30" t="str">
        <f t="shared" si="23"/>
        <v>No aplica</v>
      </c>
      <c r="DB30" t="str">
        <f t="shared" si="23"/>
        <v>No aplica</v>
      </c>
      <c r="DC30" t="str">
        <f t="shared" si="24"/>
        <v>No aplica</v>
      </c>
      <c r="DD30">
        <f t="shared" si="24"/>
        <v>0</v>
      </c>
      <c r="DE30" t="e">
        <f t="shared" si="24"/>
        <v>#REF!</v>
      </c>
      <c r="DF30" t="e">
        <f t="shared" si="24"/>
        <v>#REF!</v>
      </c>
      <c r="DG30" t="e">
        <f t="shared" si="24"/>
        <v>#REF!</v>
      </c>
      <c r="DH30" t="e">
        <f t="shared" si="24"/>
        <v>#REF!</v>
      </c>
      <c r="DI30" t="e">
        <f t="shared" si="24"/>
        <v>#REF!</v>
      </c>
      <c r="DJ30" t="e">
        <f t="shared" si="24"/>
        <v>#REF!</v>
      </c>
      <c r="DK30" t="e">
        <f t="shared" si="24"/>
        <v>#REF!</v>
      </c>
      <c r="DL30" t="e">
        <f t="shared" si="24"/>
        <v>#REF!</v>
      </c>
      <c r="DM30" t="e">
        <f t="shared" si="25"/>
        <v>#REF!</v>
      </c>
      <c r="DN30" t="e">
        <f t="shared" si="25"/>
        <v>#REF!</v>
      </c>
      <c r="DO30" t="e">
        <f t="shared" si="25"/>
        <v>#REF!</v>
      </c>
      <c r="DP30" t="e">
        <f t="shared" si="25"/>
        <v>#REF!</v>
      </c>
      <c r="DQ30" t="e">
        <f t="shared" si="25"/>
        <v>#REF!</v>
      </c>
      <c r="DR30" t="e">
        <f t="shared" si="25"/>
        <v>#REF!</v>
      </c>
      <c r="DS30" t="e">
        <f t="shared" si="25"/>
        <v>#REF!</v>
      </c>
      <c r="DT30" t="e">
        <f t="shared" si="25"/>
        <v>#REF!</v>
      </c>
      <c r="DU30" t="e">
        <f t="shared" si="25"/>
        <v>#REF!</v>
      </c>
      <c r="DV30" t="e">
        <f t="shared" si="25"/>
        <v>#REF!</v>
      </c>
      <c r="DW30" t="e">
        <f t="shared" si="25"/>
        <v>#REF!</v>
      </c>
      <c r="DX30" t="e">
        <f t="shared" si="25"/>
        <v>#REF!</v>
      </c>
    </row>
    <row r="31" spans="1:128" x14ac:dyDescent="0.3">
      <c r="A31" s="423" t="str">
        <f t="shared" si="16"/>
        <v>174E</v>
      </c>
      <c r="B31" t="str">
        <f t="shared" si="17"/>
        <v>5_Oficina Alta Consejería para los Derechos de las Víctimas, la Paz y la Reconciliación</v>
      </c>
      <c r="C31">
        <f t="shared" si="8"/>
        <v>5</v>
      </c>
      <c r="D31" t="str">
        <f t="shared" si="0"/>
        <v>Oficina Alta Consejería para los Derechos de las Víctimas, la Paz y la Reconciliación</v>
      </c>
      <c r="E31" t="str">
        <f t="shared" si="1"/>
        <v>oav</v>
      </c>
      <c r="F31" s="208" t="str">
        <f>Consejerías!D16</f>
        <v>174E</v>
      </c>
      <c r="G31" t="str">
        <f t="shared" si="30"/>
        <v>Constante</v>
      </c>
      <c r="H31" t="str">
        <f t="shared" si="30"/>
        <v>Porcentaje</v>
      </c>
      <c r="I31">
        <f t="shared" si="30"/>
        <v>1</v>
      </c>
      <c r="J31">
        <f t="shared" si="30"/>
        <v>1</v>
      </c>
      <c r="K31" t="str">
        <f>+IFERROR(VLOOKUP($F31,Consejerias_1,MATCH(K$5,Consejerías!$D$9:$V$9,0),0),"")</f>
        <v>Constante</v>
      </c>
      <c r="L31" t="str">
        <f>+IFERROR(VLOOKUP($F31,Consejerias_1,MATCH(L$5,Consejerías!$D$9:$V$9,0),0),"")</f>
        <v/>
      </c>
      <c r="M31">
        <f t="shared" si="9"/>
        <v>300</v>
      </c>
      <c r="N31">
        <f>+IFERROR(VLOOKUP($F31,Consejerias_1,MATCH(N$5,Consejerías!$D$9:$V$9,0),0),"")</f>
        <v>100</v>
      </c>
      <c r="O31">
        <f>+IFERROR(VLOOKUP($F31,Consejerias_1,MATCH(O$5,Consejerías!$D$9:$V$9,0),0),"")</f>
        <v>100</v>
      </c>
      <c r="P31">
        <f>+IFERROR(VLOOKUP($F31,Consejerias_1,MATCH(P$5,Consejerías!$D$9:$V$9,0),0),"")</f>
        <v>100</v>
      </c>
      <c r="Q31">
        <f>+IFERROR(VLOOKUP($F31,Consejerias_1,MATCH(Q$5,Consejerías!$D$9:$V$9,0),0),"")</f>
        <v>100</v>
      </c>
      <c r="R31">
        <f>+IFERROR(VLOOKUP($F31,Consejerias_1,MATCH(R$5,Consejerías!$D$9:$V$9,0),0),"")</f>
        <v>100</v>
      </c>
      <c r="S31">
        <f>+IFERROR(VLOOKUP($F31,Consejerias_1,MATCH(S$5,Consejerías!$D$9:$V$9,0),0),"")</f>
        <v>0</v>
      </c>
      <c r="T31">
        <f>+IFERROR(VLOOKUP($F31,Consejerias_1,MATCH(T$5,Consejerías!$D$9:$V$9,0),0),"")</f>
        <v>100</v>
      </c>
      <c r="U31" t="str">
        <f>+IFERROR(VLOOKUP($F31,Consejerias_1,MATCH(U$5,Consejerías!$D$9:$V$9,0),0),"")</f>
        <v>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v>
      </c>
      <c r="V31" t="str">
        <f>+IFERROR(VLOOKUP($F31,Consejerias_1,MATCH(V$5,Consejerías!$D$9:$V$9,0),0),"")</f>
        <v>Corresponde a las personas que son valoradas por la ACDVPR atraves del sistema SIVIC, para acceder al otorgamiento de ayuda humanitaria.</v>
      </c>
      <c r="W31" t="str">
        <f>+IFERROR(VLOOKUP($F31,Consejerias_1,MATCH(W$5,Consejerías!$D$9:$V$9,0),0),"")</f>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
      <c r="X31" t="str">
        <f>+IFERROR(VLOOKUP($F31,Consejerias_1,MATCH(X$5,Consejerías!$D$9:$V$9,0),0),"")</f>
        <v>Sistema de información a víctimas - SIVIC</v>
      </c>
      <c r="Y31">
        <f>+IFERROR(IF(ISBLANK(VLOOKUP(CONCATENATE($F31,"_",Y$4),Consejerias_2,MATCH(Y$3,Consejerías!$F$21:$O$21,0),0)),"",VLOOKUP(CONCATENATE($F31,"_",Y$4),Consejerias_2,MATCH(Y$3,Consejerías!$F$21:$O$21,0),0)),"")</f>
        <v>1001</v>
      </c>
      <c r="Z31">
        <f>+IFERROR(IF(ISBLANK(VLOOKUP(CONCATENATE($F31,"_",Z$4),Consejerias_2,MATCH(Z$3,Consejerías!$F$21:$O$21,0),0)),"",VLOOKUP(CONCATENATE($F31,"_",Z$4),Consejerias_2,MATCH(Z$3,Consejerías!$F$21:$O$21,0),0)),"")</f>
        <v>1001</v>
      </c>
      <c r="AA31" t="str">
        <f>+IFERROR(IF(ISBLANK(VLOOKUP(CONCATENATE($F31,"_",AA$4),Consejerias_2,MATCH(AA$3,Consejerías!$F$21:$O$21,0),0)),"",VLOOKUP(CONCATENATE($F31,"_",AA$4),Consejerias_2,MATCH(AA$3,Consejerías!$F$21:$O$21,0),0)),"")</f>
        <v xml:space="preserve">Para el mes de enero de 2020, se evaluaron 1001 personas con los criterios de otorgamiento de ayuda humanitaria inmediata.
De estas personas 26 personas presentaron alguna discapacidad, mientras que 975 personas no presentaron ningún tipo de discapacidad.
</v>
      </c>
      <c r="AB31" t="str">
        <f>+IFERROR(IF(ISBLANK(VLOOKUP(CONCATENATE($F31,"_",AB$4),Consejerias_2,MATCH(AB$3,Consejerías!$F$21:$O$21,0),0)),"",VLOOKUP(CONCATENATE($F31,"_",AB$4),Consejerias_2,MATCH(AB$3,Consejerías!$F$21:$O$21,0),0)),"")</f>
        <v>No se presenta retraso dado que este acompañamiento es realizado a demanda de las entidades.</v>
      </c>
      <c r="AC31" t="str">
        <f>+IFERROR(IF(ISBLANK(VLOOKUP(CONCATENATE($F31,"_",AC$4),Consejerias_2,MATCH(AC$3,Consejerías!$F$21:$O$21,0),0)),"",VLOOKUP(CONCATENATE($F31,"_",AC$4),Consejerias_2,MATCH(AC$3,Consejerías!$F$21:$O$21,0),0)),"")</f>
        <v>Permite tener trazabilidad de atención de las personas víctimas en estado de vulnerabilidad</v>
      </c>
      <c r="AD31">
        <f>+IFERROR(IF(ISBLANK(VLOOKUP(CONCATENATE($F31,"_",AD$4),Consejerias_2,MATCH(AD$3,Consejerías!$F$21:$O$21,0),0)),"",VLOOKUP(CONCATENATE($F31,"_",AD$4),Consejerias_2,MATCH(AD$3,Consejerías!$F$21:$O$21,0),0)),"")</f>
        <v>1533</v>
      </c>
      <c r="AE31">
        <f>+IFERROR(IF(ISBLANK(VLOOKUP(CONCATENATE($F31,"_",AE$4),Consejerias_2,MATCH(AE$3,Consejerías!$F$21:$O$21,0),0)),"",VLOOKUP(CONCATENATE($F31,"_",AE$4),Consejerias_2,MATCH(AE$3,Consejerías!$F$21:$O$21,0),0)),"")</f>
        <v>1533</v>
      </c>
      <c r="AF31" t="str">
        <f>+IFERROR(IF(ISBLANK(VLOOKUP(CONCATENATE($F31,"_",AF$4),Consejerias_2,MATCH(AF$3,Consejerías!$F$21:$O$21,0),0)),"",VLOOKUP(CONCATENATE($F31,"_",AF$4),Consejerias_2,MATCH(AF$3,Consejerías!$F$21:$O$21,0),0)),"")</f>
        <v xml:space="preserve">Para el mes de febrero de 2020, se evaluaron 1.533 personas con los criterios de otorgamiento de ayuda humanitaria inmediata.
De las 1.533 personas evaluadas con los criterios de otorgamiento de Ayuda Humanitaria Inmediata - AHI, 724 corresponde a hombres, 807 mujeres y 2 personas que se reconocen como intersexuales. De estas personas, 29 personas presentaron alguna discapacidad, mientras que 1.504 personas no presentaron ningún tipo de discapacidad.
</v>
      </c>
      <c r="AG31" t="str">
        <f>+IFERROR(IF(ISBLANK(VLOOKUP(CONCATENATE($F31,"_",AG$4),Consejerias_2,MATCH(AG$3,Consejerías!$F$21:$O$21,0),0)),"",VLOOKUP(CONCATENATE($F31,"_",AG$4),Consejerias_2,MATCH(AG$3,Consejerías!$F$21:$O$21,0),0)),"")</f>
        <v>No se presenta retraso dado que este acompañamiento es realizado a demanda de las entidades.</v>
      </c>
      <c r="AH31" t="str">
        <f>+IFERROR(IF(ISBLANK(VLOOKUP(CONCATENATE($F31,"_",AH$4),Consejerias_2,MATCH(AH$3,Consejerías!$F$21:$O$21,0),0)),"",VLOOKUP(CONCATENATE($F31,"_",AH$4),Consejerias_2,MATCH(AH$3,Consejerías!$F$21:$O$21,0),0)),"")</f>
        <v>Permite tener trazabilidad de atención de las personas víctimas en estado de vulnerabilidad</v>
      </c>
      <c r="AI31">
        <f>+IFERROR(IF(ISBLANK(VLOOKUP(CONCATENATE($F31,"_",AI$4),Consejerias_2,MATCH(AI$3,Consejerías!$F$21:$O$21,0),0)),"",VLOOKUP(CONCATENATE($F31,"_",AI$4),Consejerias_2,MATCH(AI$3,Consejerías!$F$21:$O$21,0),0)),"")</f>
        <v>1262</v>
      </c>
      <c r="AJ31">
        <f>+IFERROR(IF(ISBLANK(VLOOKUP(CONCATENATE($F31,"_",AJ$4),Consejerias_2,MATCH(AJ$3,Consejerías!$F$21:$O$21,0),0)),"",VLOOKUP(CONCATENATE($F31,"_",AJ$4),Consejerias_2,MATCH(AJ$3,Consejerías!$F$21:$O$21,0),0)),"")</f>
        <v>1262</v>
      </c>
      <c r="AK31" t="str">
        <f>+IFERROR(IF(ISBLANK(VLOOKUP(CONCATENATE($F31,"_",AK$4),Consejerias_2,MATCH(AK$3,Consejerías!$F$21:$O$21,0),0)),"",VLOOKUP(CONCATENATE($F31,"_",AK$4),Consejerias_2,MATCH(AK$3,Consejerías!$F$21:$O$21,0),0)),"")</f>
        <v xml:space="preserve">Para el mes de marzo de 2020, se evaluaron 1.262 personas con los criterios de otorgamiento de ayuda humanitaria inmediata.
De las 1.262 personas evaluadas con los criterios de otorgamiento de Ayuda Humanitaria Inmediata - AHI, 619 corresponde a hombres, 642 mujeres y 1 personas que se reconocen como intersexuales. De estas personas, 20 personas presentaron alguna discapacidad, mientras que 1.242 personas no presentaron ningún tipo de discapacidad.
</v>
      </c>
      <c r="AL31" t="str">
        <f>+IFERROR(IF(ISBLANK(VLOOKUP(CONCATENATE($F31,"_",AL$4),Consejerias_2,MATCH(AL$3,Consejerías!$F$21:$O$21,0),0)),"",VLOOKUP(CONCATENATE($F31,"_",AL$4),Consejerias_2,MATCH(AL$3,Consejerías!$F$21:$O$21,0),0)),"")</f>
        <v>No se presenta retraso dado que este acompañamiento es realizado a demanda de las entidades.</v>
      </c>
      <c r="AM31" t="str">
        <f>+IFERROR(IF(ISBLANK(VLOOKUP(CONCATENATE($F31,"_",AM$4),Consejerias_2,MATCH(AM$3,Consejerías!$F$21:$O$21,0),0)),"",VLOOKUP(CONCATENATE($F31,"_",AM$4),Consejerias_2,MATCH(AM$3,Consejerías!$F$21:$O$21,0),0)),"")</f>
        <v>Permite tener trazabilidad de atención de las personas víctimas en estado de vulnerabilidad</v>
      </c>
      <c r="AN31">
        <f>+IFERROR(IF(ISBLANK(VLOOKUP(CONCATENATE($F31,"_",AN$4),Consejerias_2,MATCH(AN$3,Consejerías!$F$21:$O$21,0),0)),"",VLOOKUP(CONCATENATE($F31,"_",AN$4),Consejerias_2,MATCH(AN$3,Consejerías!$F$21:$O$21,0),0)),"")</f>
        <v>1225</v>
      </c>
      <c r="AO31">
        <f>+IFERROR(IF(ISBLANK(VLOOKUP(CONCATENATE($F31,"_",AO$4),Consejerias_2,MATCH(AO$3,Consejerías!$F$21:$O$21,0),0)),"",VLOOKUP(CONCATENATE($F31,"_",AO$4),Consejerias_2,MATCH(AO$3,Consejerías!$F$21:$O$21,0),0)),"")</f>
        <v>1225</v>
      </c>
      <c r="AP31" t="str">
        <f>+IFERROR(IF(ISBLANK(VLOOKUP(CONCATENATE($F31,"_",AP$4),Consejerias_2,MATCH(AP$3,Consejerías!$F$21:$O$21,0),0)),"",VLOOKUP(CONCATENATE($F31,"_",AP$4),Consejerias_2,MATCH(AP$3,Consejerías!$F$21:$O$21,0),0)),"")</f>
        <v xml:space="preserve">Para el mes de abril de 2020, se evaluaron 1.225 personas con los criterios de otorgamiento de ayuda humanitaria inmediata.
De las 1.225 personas evaluadas con los criterios de otorgamiento de Ayuda Humanitaria Inmediata - AHI, 588 corresponde a hombres, 636 mujeres y 1 personas que se reconocen como intersexuales. De estas personas, 21 personas presentaron alguna discapacidad, mientras que 1.204 personas no presentaron ningún tipo de discapacidad. Por grupo etario , 514 corresponde a niños-adolecentes, 681 adultos, 28 adultos mayores y 2 sin información. 
</v>
      </c>
      <c r="AQ31" t="str">
        <f>+IFERROR(IF(ISBLANK(VLOOKUP(CONCATENATE($F31,"_",AQ$4),Consejerias_2,MATCH(AQ$3,Consejerías!$F$21:$O$21,0),0)),"",VLOOKUP(CONCATENATE($F31,"_",AQ$4),Consejerias_2,MATCH(AQ$3,Consejerías!$F$21:$O$21,0),0)),"")</f>
        <v>No se presenta retraso dado que este acompañamiento es realizado a demanda de las entidades.</v>
      </c>
      <c r="AR31" t="str">
        <f>+IFERROR(IF(ISBLANK(VLOOKUP(CONCATENATE($F31,"_",AR$4),Consejerias_2,MATCH(AR$3,Consejerías!$F$21:$O$21,0),0)),"",VLOOKUP(CONCATENATE($F31,"_",AR$4),Consejerias_2,MATCH(AR$3,Consejerías!$F$21:$O$21,0),0)),"")</f>
        <v>Permite tener trazabilidad de atención de las personas víctimas en estado de vulnerabilidad</v>
      </c>
      <c r="AS31">
        <f>+IFERROR(IF(ISBLANK(VLOOKUP(CONCATENATE($F31,"_",AS$4),Consejerias_2,MATCH(AS$3,Consejerías!$F$21:$O$21,0),0)),"",VLOOKUP(CONCATENATE($F31,"_",AS$4),Consejerias_2,MATCH(AS$3,Consejerías!$F$21:$O$21,0),0)),"")</f>
        <v>473</v>
      </c>
      <c r="AT31">
        <f>+IFERROR(IF(ISBLANK(VLOOKUP(CONCATENATE($F31,"_",AT$4),Consejerias_2,MATCH(AT$3,Consejerías!$F$21:$O$21,0),0)),"",VLOOKUP(CONCATENATE($F31,"_",AT$4),Consejerias_2,MATCH(AT$3,Consejerías!$F$21:$O$21,0),0)),"")</f>
        <v>473</v>
      </c>
      <c r="AU31" t="str">
        <f>+IFERROR(IF(ISBLANK(VLOOKUP(CONCATENATE($F31,"_",AU$4),Consejerias_2,MATCH(AU$3,Consejerías!$F$21:$O$21,0),0)),"",VLOOKUP(CONCATENATE($F31,"_",AU$4),Consejerias_2,MATCH(AU$3,Consejerías!$F$21:$O$21,0),0)),"")</f>
        <v xml:space="preserve">Para el mes de mayo de 2020, se evaluaron 473 personas con los criterios de otorgamiento de ayuda humanitaria inmediata.
De las 473 personas evaluadas con los criterios de otorgamiento de Ayuda Humanitaria Inmediata - AHI, 239 corresponde a hombres, 234 mujeres. De esta población, 9 personas presentaron alguna discapacidad, mientras que 464 personas no presentaron ningún tipo de discapacidad. Por grupo etario , 187 corresponde a niños-adolecentes, 276 adultos, 7 adultos mayores y 3 sin información. 
</v>
      </c>
      <c r="AV31" t="str">
        <f>+IFERROR(IF(ISBLANK(VLOOKUP(CONCATENATE($F31,"_",AV$4),Consejerias_2,MATCH(AV$3,Consejerías!$F$21:$O$21,0),0)),"",VLOOKUP(CONCATENATE($F31,"_",AV$4),Consejerias_2,MATCH(AV$3,Consejerías!$F$21:$O$21,0),0)),"")</f>
        <v xml:space="preserve">Dada la situación de emergencia sanitaria, no se ha logrado realizar la valoración a la población debido a que los CLAV se encuentran cerrados a razón de la contingencia del COVID-19.
Se presentan dificultades para cumplir la acción correspondiente a las contrarreferencias, teniendo en cuenta que, por el cambio de administración y la organización de esta, no se contaba con los enlaces de las otras instituciones para realizar este proceso. 
</v>
      </c>
      <c r="AW31" t="str">
        <f>+IFERROR(IF(ISBLANK(VLOOKUP(CONCATENATE($F31,"_",AW$4),Consejerias_2,MATCH(AW$3,Consejerías!$F$21:$O$21,0),0)),"",VLOOKUP(CONCATENATE($F31,"_",AW$4),Consejerias_2,MATCH(AW$3,Consejerías!$F$21:$O$21,0),0)),"")</f>
        <v>Permite tener trazabilidad de atención de las personas víctimas en estado de vulnerabilidad</v>
      </c>
      <c r="AX31" t="str">
        <f>+IFERROR(IF(ISBLANK(VLOOKUP(CONCATENATE($F31,"_",AX$4),Consejerias_2,MATCH(AX$3,Consejerías!$F$21:$O$21,0),0)),"",VLOOKUP(CONCATENATE($F31,"_",AX$4),Consejerias_2,MATCH(AX$3,Consejerías!$F$21:$O$21,0),0)),"")</f>
        <v/>
      </c>
      <c r="AY31" t="str">
        <f>+IFERROR(IF(ISBLANK(VLOOKUP(CONCATENATE($F31,"_",AY$4),Consejerias_2,MATCH(AY$3,Consejerías!$F$21:$O$21,0),0)),"",VLOOKUP(CONCATENATE($F31,"_",AY$4),Consejerias_2,MATCH(AY$3,Consejerías!$F$21:$O$21,0),0)),"")</f>
        <v/>
      </c>
      <c r="AZ31" t="str">
        <f>+IFERROR(IF(ISBLANK(VLOOKUP(CONCATENATE($F31,"_",AZ$4),Consejerias_2,MATCH(AZ$3,Consejerías!$F$21:$O$21,0),0)),"",VLOOKUP(CONCATENATE($F31,"_",AZ$4),Consejerias_2,MATCH(AZ$3,Consejerías!$F$21:$O$21,0),0)),"")</f>
        <v/>
      </c>
      <c r="BA31" t="str">
        <f>+IFERROR(IF(ISBLANK(VLOOKUP(CONCATENATE($F31,"_",BA$4),Consejerias_2,MATCH(BA$3,Consejerías!$F$21:$O$21,0),0)),"",VLOOKUP(CONCATENATE($F31,"_",BA$4),Consejerias_2,MATCH(BA$3,Consejerías!$F$21:$O$21,0),0)),"")</f>
        <v/>
      </c>
      <c r="BB31" t="str">
        <f>+IFERROR(IF(ISBLANK(VLOOKUP(CONCATENATE($F31,"_",BB$4),Consejerias_2,MATCH(BB$3,Consejerías!$F$21:$O$21,0),0)),"",VLOOKUP(CONCATENATE($F31,"_",BB$4),Consejerias_2,MATCH(BB$3,Consejerías!$F$21:$O$21,0),0)),"")</f>
        <v/>
      </c>
      <c r="BC31">
        <f t="shared" si="10"/>
        <v>5494</v>
      </c>
      <c r="BD31">
        <f t="shared" si="10"/>
        <v>5494</v>
      </c>
      <c r="BE31" s="129" t="str">
        <f>+IFERROR(IF(ISBLANK(VLOOKUP(CONCATENATE($F31,"_",BE$4),P1125_4,MATCH(BE$3,PAAC!$E$19:$M$19,0),0)),"",VLOOKUP(CONCATENATE($F31,"_",BE$4),P1125_4,MATCH(BE$3,PAAC!$E$19:$M$19,0),0)),"")</f>
        <v/>
      </c>
      <c r="BF31" s="129" t="str">
        <f>+IFERROR(IF(ISBLANK(VLOOKUP(CONCATENATE($F31,"_",BF$4),P1125_4,MATCH(BF$3,PAAC!$E$19:$M$19,0),0)),"",VLOOKUP(CONCATENATE($F31,"_",BF$4),P1125_4,MATCH(BF$3,PAAC!$E$19:$M$19,0),0)),"")</f>
        <v/>
      </c>
      <c r="BG31" s="129" t="str">
        <f>+IFERROR(IF(ISBLANK(VLOOKUP(CONCATENATE($F31,"_",BG$4),P1125_4,MATCH(BG$3,PAAC!$E$19:$M$19,0),0)),"",VLOOKUP(CONCATENATE($F31,"_",BG$4),P1125_4,MATCH(BG$3,PAAC!$E$19:$M$19,0),0)),"")</f>
        <v/>
      </c>
      <c r="BH31" s="129" t="str">
        <f>+IFERROR(IF(ISBLANK(VLOOKUP(CONCATENATE($F31,"_",BH$4),P1125_4,MATCH(BH$3,PAAC!$E$19:$M$19,0),0)),"",VLOOKUP(CONCATENATE($F31,"_",BH$4),P1125_4,MATCH(BH$3,PAAC!$E$19:$M$19,0),0)),"")</f>
        <v/>
      </c>
      <c r="BI31" s="129" t="str">
        <f>+IFERROR(IF(ISBLANK(VLOOKUP(CONCATENATE($F31,"_",BI$4),P1125_4,MATCH(BI$3,PAAC!$E$19:$M$19,0),0)),"",VLOOKUP(CONCATENATE($F31,"_",BI$4),P1125_4,MATCH(BI$3,PAAC!$E$19:$M$19,0),0)),"")</f>
        <v/>
      </c>
      <c r="BJ31" s="129" t="str">
        <f>+IFERROR(IF(ISBLANK(VLOOKUP(CONCATENATE($F31,"_",BJ$4),P1125_4,MATCH(BJ$3,PAAC!$E$19:$M$19,0),0)),"",VLOOKUP(CONCATENATE($F31,"_",BJ$4),P1125_4,MATCH(BJ$3,PAAC!$E$19:$M$19,0),0)),"")</f>
        <v/>
      </c>
      <c r="BK31" s="129" t="str">
        <f>+IFERROR(IF(ISBLANK(VLOOKUP(CONCATENATE($F31,"_",BK$4),P1125_4,MATCH(BK$3,PAAC!$E$19:$M$19,0),0)),"",VLOOKUP(CONCATENATE($F31,"_",BK$4),P1125_4,MATCH(BK$3,PAAC!$E$19:$M$19,0),0)),"")</f>
        <v/>
      </c>
      <c r="BL31" s="129" t="str">
        <f>+IFERROR(IF(ISBLANK(VLOOKUP(CONCATENATE($F31,"_",BL$4),P1125_4,MATCH(BL$3,PAAC!$E$19:$M$19,0),0)),"",VLOOKUP(CONCATENATE($F31,"_",BL$4),P1125_4,MATCH(BL$3,PAAC!$E$19:$M$19,0),0)),"")</f>
        <v/>
      </c>
      <c r="BM31" s="129" t="str">
        <f>+IFERROR(IF(ISBLANK(VLOOKUP(CONCATENATE($F31,"_",BM$4),P1125_4,MATCH(BM$3,PAAC!$E$19:$M$19,0),0)),"",VLOOKUP(CONCATENATE($F31,"_",BM$4),P1125_4,MATCH(BM$3,PAAC!$E$19:$M$19,0),0)),"")</f>
        <v/>
      </c>
      <c r="BN31" s="129" t="str">
        <f>+IFERROR(IF(ISBLANK(VLOOKUP(CONCATENATE($F31,"_",BN$4),P1125_4,MATCH(BN$3,PAAC!$E$19:$M$19,0),0)),"",VLOOKUP(CONCATENATE($F31,"_",BN$4),P1125_4,MATCH(BN$3,PAAC!$E$19:$M$19,0),0)),"")</f>
        <v/>
      </c>
      <c r="BO31" s="129" t="str">
        <f>+IFERROR(IF(ISBLANK(VLOOKUP(CONCATENATE($F31,"_",BO$4),P1125_4,MATCH(BO$3,PAAC!$E$19:$M$19,0),0)),"",VLOOKUP(CONCATENATE($F31,"_",BO$4),P1125_4,MATCH(BO$3,PAAC!$E$19:$M$19,0),0)),"")</f>
        <v/>
      </c>
      <c r="BP31" s="129" t="str">
        <f>+IFERROR(IF(ISBLANK(VLOOKUP(CONCATENATE($F31,"_",BP$4),P1125_4,MATCH(BP$3,PAAC!$E$19:$M$19,0),0)),"",VLOOKUP(CONCATENATE($F31,"_",BP$4),P1125_4,MATCH(BP$3,PAAC!$E$19:$M$19,0),0)),"")</f>
        <v/>
      </c>
      <c r="BQ31" s="129" t="str">
        <f>+IFERROR(IF(ISBLANK(VLOOKUP(CONCATENATE($F31,"_",BQ$4),P1125_4,MATCH(BQ$3,PAAC!$E$19:$M$19,0),0)),"",VLOOKUP(CONCATENATE($F31,"_",BQ$4),P1125_4,MATCH(BQ$3,PAAC!$E$19:$M$19,0),0)),"")</f>
        <v/>
      </c>
      <c r="BR31" s="129" t="str">
        <f>+IFERROR(IF(ISBLANK(VLOOKUP(CONCATENATE($F31,"_",BR$4),P1125_4,MATCH(BR$3,PAAC!$E$19:$M$19,0),0)),"",VLOOKUP(CONCATENATE($F31,"_",BR$4),P1125_4,MATCH(BR$3,PAAC!$E$19:$M$19,0),0)),"")</f>
        <v/>
      </c>
      <c r="BS31" s="129" t="str">
        <f>+IFERROR(IF(ISBLANK(VLOOKUP(CONCATENATE($F31,"_",BS$4),P1125_4,MATCH(BS$3,PAAC!$E$19:$M$19,0),0)),"",VLOOKUP(CONCATENATE($F31,"_",BS$4),P1125_4,MATCH(BS$3,PAAC!$E$19:$M$19,0),0)),"")</f>
        <v/>
      </c>
      <c r="BT31" s="129" t="str">
        <f>+IFERROR(IF(ISBLANK(VLOOKUP(CONCATENATE($F31,"_",BT$4),P1125_4,MATCH(BT$3,PAAC!$E$19:$M$19,0),0)),"",VLOOKUP(CONCATENATE($F31,"_",BT$4),P1125_4,MATCH(BT$3,PAAC!$E$19:$M$19,0),0)),"")</f>
        <v/>
      </c>
      <c r="BU31" s="129" t="str">
        <f>+IFERROR(IF(ISBLANK(VLOOKUP(CONCATENATE($F31,"_",BU$4),P1125_4,MATCH(BU$3,PAAC!$E$19:$M$19,0),0)),"",VLOOKUP(CONCATENATE($F31,"_",BU$4),P1125_4,MATCH(BU$3,PAAC!$E$19:$M$19,0),0)),"")</f>
        <v/>
      </c>
      <c r="BV31" s="129" t="str">
        <f>+IFERROR(IF(ISBLANK(VLOOKUP(CONCATENATE($F31,"_",BV$4),P1125_4,MATCH(BV$3,PAAC!$E$19:$M$19,0),0)),"",VLOOKUP(CONCATENATE($F31,"_",BV$4),P1125_4,MATCH(BV$3,PAAC!$E$19:$M$19,0),0)),"")</f>
        <v/>
      </c>
      <c r="BW31" s="129" t="str">
        <f>+IFERROR(IF(ISBLANK(VLOOKUP(CONCATENATE($F31,"_",BW$4),P1125_4,MATCH(BW$3,PAAC!$E$19:$M$19,0),0)),"",VLOOKUP(CONCATENATE($F31,"_",BW$4),P1125_4,MATCH(BW$3,PAAC!$E$19:$M$19,0),0)),"")</f>
        <v/>
      </c>
      <c r="BX31" s="129" t="str">
        <f>+IFERROR(IF(ISBLANK(VLOOKUP(CONCATENATE($F31,"_",BX$4),P1125_4,MATCH(BX$3,PAAC!$E$19:$M$19,0),0)),"",VLOOKUP(CONCATENATE($F31,"_",BX$4),P1125_4,MATCH(BX$3,PAAC!$E$19:$M$19,0),0)),"")</f>
        <v/>
      </c>
      <c r="BY31" s="129" t="str">
        <f>+IFERROR(IF(ISBLANK(VLOOKUP(CONCATENATE($F31,"_",BY$4),P1125_4,MATCH(BY$3,PAAC!$E$19:$M$19,0),0)),"",VLOOKUP(CONCATENATE($F31,"_",BY$4),P1125_4,MATCH(BY$3,PAAC!$E$19:$M$19,0),0)),"")</f>
        <v/>
      </c>
      <c r="BZ31" s="129" t="str">
        <f>+IFERROR(IF(ISBLANK(VLOOKUP(CONCATENATE($F31,"_",BZ$4),P1125_4,MATCH(BZ$3,PAAC!$E$19:$M$19,0),0)),"",VLOOKUP(CONCATENATE($F31,"_",BZ$4),P1125_4,MATCH(BZ$3,PAAC!$E$19:$M$19,0),0)),"")</f>
        <v/>
      </c>
      <c r="CA31" s="129" t="str">
        <f>+IFERROR(IF(ISBLANK(VLOOKUP(CONCATENATE($F31,"_",CA$4),P1125_4,MATCH(CA$3,PAAC!$E$19:$M$19,0),0)),"",VLOOKUP(CONCATENATE($F31,"_",CA$4),P1125_4,MATCH(CA$3,PAAC!$E$19:$M$19,0),0)),"")</f>
        <v/>
      </c>
      <c r="CB31" s="129" t="str">
        <f>+IFERROR(IF(ISBLANK(VLOOKUP(CONCATENATE($F31,"_",CB$4),P1125_4,MATCH(CB$3,PAAC!$E$19:$M$19,0),0)),"",VLOOKUP(CONCATENATE($F31,"_",CB$4),P1125_4,MATCH(CB$3,PAAC!$E$19:$M$19,0),0)),"")</f>
        <v/>
      </c>
      <c r="CC31" s="129" t="str">
        <f>+IFERROR(IF(ISBLANK(VLOOKUP(CONCATENATE($F31,"_",CC$4),P1125_4,MATCH(CC$3,PAAC!$E$19:$M$19,0),0)),"",VLOOKUP(CONCATENATE($F31,"_",CC$4),P1125_4,MATCH(CC$3,PAAC!$E$19:$M$19,0),0)),"")</f>
        <v/>
      </c>
      <c r="CD31" s="129" t="str">
        <f t="shared" si="11"/>
        <v/>
      </c>
      <c r="CE31" s="129" t="str">
        <f t="shared" si="3"/>
        <v/>
      </c>
      <c r="CF31" s="129" t="str">
        <f t="shared" si="4"/>
        <v/>
      </c>
      <c r="CG31" s="129" t="str">
        <f t="shared" si="5"/>
        <v/>
      </c>
      <c r="CH31" s="129" t="str">
        <f t="shared" si="6"/>
        <v/>
      </c>
      <c r="CI31" t="str">
        <f t="shared" si="22"/>
        <v>Cumple</v>
      </c>
      <c r="CJ31" t="str">
        <f t="shared" si="22"/>
        <v>Cumplido</v>
      </c>
      <c r="CK31" t="str">
        <f t="shared" si="22"/>
        <v>Adecuado</v>
      </c>
      <c r="CL31" t="str">
        <f t="shared" si="22"/>
        <v>Coherente</v>
      </c>
      <c r="CM31" t="str">
        <f t="shared" si="22"/>
        <v>Concuerda</v>
      </c>
      <c r="CN31" t="str">
        <f t="shared" si="22"/>
        <v>Concuerda</v>
      </c>
      <c r="CO31">
        <f t="shared" si="22"/>
        <v>0</v>
      </c>
      <c r="CP31" t="str">
        <f t="shared" si="22"/>
        <v>Adecuado</v>
      </c>
      <c r="CQ31" t="str">
        <f t="shared" si="22"/>
        <v>Oportuna</v>
      </c>
      <c r="CR31" t="str">
        <f t="shared" si="22"/>
        <v>Ninguna</v>
      </c>
      <c r="CS31" t="str">
        <f t="shared" si="23"/>
        <v>Marcela Andrea García Guerrero</v>
      </c>
      <c r="CT31" t="str">
        <f t="shared" si="23"/>
        <v>No aplica</v>
      </c>
      <c r="CU31" t="str">
        <f t="shared" si="23"/>
        <v>No aplica</v>
      </c>
      <c r="CV31" t="str">
        <f t="shared" si="23"/>
        <v>No aplica</v>
      </c>
      <c r="CW31" t="str">
        <f t="shared" si="23"/>
        <v>No aplica</v>
      </c>
      <c r="CX31" t="str">
        <f t="shared" si="23"/>
        <v>No aplica</v>
      </c>
      <c r="CY31" t="str">
        <f t="shared" si="23"/>
        <v>No aplica</v>
      </c>
      <c r="CZ31">
        <f t="shared" si="23"/>
        <v>0</v>
      </c>
      <c r="DA31" t="str">
        <f t="shared" si="23"/>
        <v>No aplica</v>
      </c>
      <c r="DB31" t="str">
        <f t="shared" si="23"/>
        <v>No aplica</v>
      </c>
      <c r="DC31" t="str">
        <f t="shared" si="24"/>
        <v>No aplica</v>
      </c>
      <c r="DD31">
        <f t="shared" si="24"/>
        <v>0</v>
      </c>
      <c r="DE31" t="e">
        <f t="shared" si="24"/>
        <v>#REF!</v>
      </c>
      <c r="DF31" t="e">
        <f t="shared" si="24"/>
        <v>#REF!</v>
      </c>
      <c r="DG31" t="e">
        <f t="shared" si="24"/>
        <v>#REF!</v>
      </c>
      <c r="DH31" t="e">
        <f t="shared" si="24"/>
        <v>#REF!</v>
      </c>
      <c r="DI31" t="e">
        <f t="shared" si="24"/>
        <v>#REF!</v>
      </c>
      <c r="DJ31" t="e">
        <f t="shared" si="24"/>
        <v>#REF!</v>
      </c>
      <c r="DK31" t="e">
        <f t="shared" si="24"/>
        <v>#REF!</v>
      </c>
      <c r="DL31" t="e">
        <f t="shared" si="24"/>
        <v>#REF!</v>
      </c>
      <c r="DM31" t="e">
        <f t="shared" si="25"/>
        <v>#REF!</v>
      </c>
      <c r="DN31" t="e">
        <f t="shared" si="25"/>
        <v>#REF!</v>
      </c>
      <c r="DO31" t="e">
        <f t="shared" si="25"/>
        <v>#REF!</v>
      </c>
      <c r="DP31" t="e">
        <f t="shared" si="25"/>
        <v>#REF!</v>
      </c>
      <c r="DQ31" t="e">
        <f t="shared" si="25"/>
        <v>#REF!</v>
      </c>
      <c r="DR31" t="e">
        <f t="shared" si="25"/>
        <v>#REF!</v>
      </c>
      <c r="DS31" t="e">
        <f t="shared" si="25"/>
        <v>#REF!</v>
      </c>
      <c r="DT31" t="e">
        <f t="shared" si="25"/>
        <v>#REF!</v>
      </c>
      <c r="DU31" t="e">
        <f t="shared" si="25"/>
        <v>#REF!</v>
      </c>
      <c r="DV31" t="e">
        <f t="shared" si="25"/>
        <v>#REF!</v>
      </c>
      <c r="DW31" t="e">
        <f t="shared" si="25"/>
        <v>#REF!</v>
      </c>
      <c r="DX31" t="e">
        <f t="shared" si="25"/>
        <v>#REF!</v>
      </c>
    </row>
    <row r="32" spans="1:128" x14ac:dyDescent="0.3">
      <c r="A32" s="423" t="str">
        <f t="shared" si="16"/>
        <v>10K</v>
      </c>
      <c r="B32" t="str">
        <f t="shared" si="17"/>
        <v>1_Oficina Consejería de Comunicaciones</v>
      </c>
      <c r="C32">
        <f t="shared" si="8"/>
        <v>1</v>
      </c>
      <c r="D32" t="str">
        <f t="shared" si="0"/>
        <v>Oficina Consejería de Comunicaciones</v>
      </c>
      <c r="E32" t="str">
        <f t="shared" si="1"/>
        <v>occ</v>
      </c>
      <c r="F32" s="208" t="str">
        <f>Consejerías!D17</f>
        <v>10K</v>
      </c>
      <c r="G32" t="str">
        <f t="shared" si="30"/>
        <v>Suma</v>
      </c>
      <c r="H32" t="str">
        <f t="shared" si="30"/>
        <v>Porcentaje</v>
      </c>
      <c r="I32" t="str">
        <f t="shared" si="30"/>
        <v>No Disponible / No Aplica</v>
      </c>
      <c r="J32">
        <f t="shared" si="30"/>
        <v>1</v>
      </c>
      <c r="K32" t="str">
        <f>+IFERROR(VLOOKUP($F32,Consejerias_1,MATCH(K$5,Consejerías!$D$9:$V$9,0),0),"")</f>
        <v>Suma</v>
      </c>
      <c r="L32">
        <f>+IFERROR(VLOOKUP($F32,Consejerias_1,MATCH(L$5,Consejerías!$D$9:$V$9,0),0),"")</f>
        <v>4</v>
      </c>
      <c r="M32">
        <f t="shared" si="9"/>
        <v>1</v>
      </c>
      <c r="N32">
        <f>+IFERROR(VLOOKUP($F32,Consejerias_1,MATCH(N$5,Consejerías!$D$9:$V$9,0),0),"")</f>
        <v>0</v>
      </c>
      <c r="O32">
        <f>+IFERROR(VLOOKUP($F32,Consejerias_1,MATCH(O$5,Consejerías!$D$9:$V$9,0),0),"")</f>
        <v>0</v>
      </c>
      <c r="P32">
        <f>+IFERROR(VLOOKUP($F32,Consejerias_1,MATCH(P$5,Consejerías!$D$9:$V$9,0),0),"")</f>
        <v>1</v>
      </c>
      <c r="Q32">
        <f>+IFERROR(VLOOKUP($F32,Consejerias_1,MATCH(Q$5,Consejerías!$D$9:$V$9,0),0),"")</f>
        <v>1</v>
      </c>
      <c r="R32">
        <f>+IFERROR(VLOOKUP($F32,Consejerias_1,MATCH(R$5,Consejerías!$D$9:$V$9,0),0),"")</f>
        <v>1</v>
      </c>
      <c r="S32">
        <f>+IFERROR(VLOOKUP($F32,Consejerias_1,MATCH(S$5,Consejerías!$D$9:$V$9,0),0),"")</f>
        <v>1</v>
      </c>
      <c r="T32">
        <f>+IFERROR(VLOOKUP($F32,Consejerias_1,MATCH(T$5,Consejerías!$D$9:$V$9,0),0),"")</f>
        <v>100</v>
      </c>
      <c r="U32" t="str">
        <f>+IFERROR(VLOOKUP($F32,Consejerias_1,MATCH(U$5,Consejerías!$D$9:$V$9,0),0),"")</f>
        <v>Implementar Plan de Comunicaciones de los servicios y las acciones que desarrolla la Secretaría General.</v>
      </c>
      <c r="V32" t="str">
        <f>+IFERROR(VLOOKUP($F32,Consejerias_1,MATCH(V$5,Consejerías!$D$9:$V$9,0),0),"")</f>
        <v>Definir y establecer las acciones de la vigencia que cada dependencia de la Secretaría General necesite divulgar.</v>
      </c>
      <c r="W32" t="str">
        <f>+IFERROR(VLOOKUP($F32,Consejerias_1,MATCH(W$5,Consejerías!$D$9:$V$9,0),0),"")</f>
        <v>Grantiza la ejecución ordenada de las necesidades de comunicación de las dependencias de la Secretaría General.</v>
      </c>
      <c r="X32" t="str">
        <f>+IFERROR(VLOOKUP($F32,Consejerias_1,MATCH(X$5,Consejerías!$D$9:$V$9,0),0),"")</f>
        <v xml:space="preserve">Carpeta Compartida - Matriz </v>
      </c>
      <c r="Y32">
        <f>+IFERROR(IF(ISBLANK(VLOOKUP(CONCATENATE($F32,"_",Y$4),Consejerias_2,MATCH(Y$3,Consejerías!$F$21:$O$21,0),0)),"",VLOOKUP(CONCATENATE($F32,"_",Y$4),Consejerias_2,MATCH(Y$3,Consejerías!$F$21:$O$21,0),0)),"")</f>
        <v>0</v>
      </c>
      <c r="Z32">
        <f>+IFERROR(IF(ISBLANK(VLOOKUP(CONCATENATE($F32,"_",Z$4),Consejerias_2,MATCH(Z$3,Consejerías!$F$21:$O$21,0),0)),"",VLOOKUP(CONCATENATE($F32,"_",Z$4),Consejerias_2,MATCH(Z$3,Consejerías!$F$21:$O$21,0),0)),"")</f>
        <v>0</v>
      </c>
      <c r="AA32" t="str">
        <f>+IFERROR(IF(ISBLANK(VLOOKUP(CONCATENATE($F32,"_",AA$4),Consejerias_2,MATCH(AA$3,Consejerías!$F$21:$O$21,0),0)),"",VLOOKUP(CONCATENATE($F32,"_",AA$4),Consejerias_2,MATCH(AA$3,Consejerías!$F$21:$O$21,0),0)),"")</f>
        <v>N/A</v>
      </c>
      <c r="AB32" t="str">
        <f>+IFERROR(IF(ISBLANK(VLOOKUP(CONCATENATE($F32,"_",AB$4),Consejerias_2,MATCH(AB$3,Consejerías!$F$21:$O$21,0),0)),"",VLOOKUP(CONCATENATE($F32,"_",AB$4),Consejerias_2,MATCH(AB$3,Consejerías!$F$21:$O$21,0),0)),"")</f>
        <v>N/A</v>
      </c>
      <c r="AC32" t="str">
        <f>+IFERROR(IF(ISBLANK(VLOOKUP(CONCATENATE($F32,"_",AC$4),Consejerias_2,MATCH(AC$3,Consejerías!$F$21:$O$21,0),0)),"",VLOOKUP(CONCATENATE($F32,"_",AC$4),Consejerias_2,MATCH(AC$3,Consejerías!$F$21:$O$21,0),0)),"")</f>
        <v>N/A</v>
      </c>
      <c r="AD32">
        <f>+IFERROR(IF(ISBLANK(VLOOKUP(CONCATENATE($F32,"_",AD$4),Consejerias_2,MATCH(AD$3,Consejerías!$F$21:$O$21,0),0)),"",VLOOKUP(CONCATENATE($F32,"_",AD$4),Consejerias_2,MATCH(AD$3,Consejerías!$F$21:$O$21,0),0)),"")</f>
        <v>0</v>
      </c>
      <c r="AE32">
        <f>+IFERROR(IF(ISBLANK(VLOOKUP(CONCATENATE($F32,"_",AE$4),Consejerias_2,MATCH(AE$3,Consejerías!$F$21:$O$21,0),0)),"",VLOOKUP(CONCATENATE($F32,"_",AE$4),Consejerias_2,MATCH(AE$3,Consejerías!$F$21:$O$21,0),0)),"")</f>
        <v>0</v>
      </c>
      <c r="AF32" t="str">
        <f>+IFERROR(IF(ISBLANK(VLOOKUP(CONCATENATE($F32,"_",AF$4),Consejerias_2,MATCH(AF$3,Consejerías!$F$21:$O$21,0),0)),"",VLOOKUP(CONCATENATE($F32,"_",AF$4),Consejerias_2,MATCH(AF$3,Consejerías!$F$21:$O$21,0),0)),"")</f>
        <v>N/A</v>
      </c>
      <c r="AG32" t="str">
        <f>+IFERROR(IF(ISBLANK(VLOOKUP(CONCATENATE($F32,"_",AG$4),Consejerias_2,MATCH(AG$3,Consejerías!$F$21:$O$21,0),0)),"",VLOOKUP(CONCATENATE($F32,"_",AG$4),Consejerias_2,MATCH(AG$3,Consejerías!$F$21:$O$21,0),0)),"")</f>
        <v>N/A</v>
      </c>
      <c r="AH32" t="str">
        <f>+IFERROR(IF(ISBLANK(VLOOKUP(CONCATENATE($F32,"_",AH$4),Consejerias_2,MATCH(AH$3,Consejerías!$F$21:$O$21,0),0)),"",VLOOKUP(CONCATENATE($F32,"_",AH$4),Consejerias_2,MATCH(AH$3,Consejerías!$F$21:$O$21,0),0)),"")</f>
        <v>N/A</v>
      </c>
      <c r="AI32">
        <f>+IFERROR(IF(ISBLANK(VLOOKUP(CONCATENATE($F32,"_",AI$4),Consejerias_2,MATCH(AI$3,Consejerías!$F$21:$O$21,0),0)),"",VLOOKUP(CONCATENATE($F32,"_",AI$4),Consejerias_2,MATCH(AI$3,Consejerías!$F$21:$O$21,0),0)),"")</f>
        <v>1</v>
      </c>
      <c r="AJ32">
        <f>+IFERROR(IF(ISBLANK(VLOOKUP(CONCATENATE($F32,"_",AJ$4),Consejerias_2,MATCH(AJ$3,Consejerías!$F$21:$O$21,0),0)),"",VLOOKUP(CONCATENATE($F32,"_",AJ$4),Consejerias_2,MATCH(AJ$3,Consejerías!$F$21:$O$21,0),0)),"")</f>
        <v>1</v>
      </c>
      <c r="AK32" t="str">
        <f>+IFERROR(IF(ISBLANK(VLOOKUP(CONCATENATE($F32,"_",AK$4),Consejerias_2,MATCH(AK$3,Consejerías!$F$21:$O$21,0),0)),"",VLOOKUP(CONCATENATE($F32,"_",AK$4),Consejerias_2,MATCH(AK$3,Consejerías!$F$21:$O$21,0),0)),"")</f>
        <v>La Oficina Consejería de Comunicaciones de la Secretaria General diseño, elaboró y divulgó la campaña interna para el 08 de marzo en el marco del “Día internacional por los derechos de las mujeres”, realizando un recorrido turístico por la candelaria dando a conocer el legado de las mujeres que tuvieron trascendencia en la historia de Bogotá, muestra fotográfica frente al palacio Liévano “Miradas de Mujer”, entre otras actividades.</v>
      </c>
      <c r="AL32" t="str">
        <f>+IFERROR(IF(ISBLANK(VLOOKUP(CONCATENATE($F32,"_",AL$4),Consejerias_2,MATCH(AL$3,Consejerías!$F$21:$O$21,0),0)),"",VLOOKUP(CONCATENATE($F32,"_",AL$4),Consejerias_2,MATCH(AL$3,Consejerías!$F$21:$O$21,0),0)),"")</f>
        <v>Para este periodo no se generaron retrasos o dificultades ya que se cumplió con la programación realizada.</v>
      </c>
      <c r="AM32" t="str">
        <f>+IFERROR(IF(ISBLANK(VLOOKUP(CONCATENATE($F32,"_",AM$4),Consejerias_2,MATCH(AM$3,Consejerías!$F$21:$O$21,0),0)),"",VLOOKUP(CONCATENATE($F32,"_",AM$4),Consejerias_2,MATCH(AM$3,Consejerías!$F$21:$O$21,0),0)),"")</f>
        <v>Enaltecer las acciones colectivas de las mujeres por condiciones de vida digna y justas en el trabajo y en la sociedad.</v>
      </c>
      <c r="AN32">
        <f>+IFERROR(IF(ISBLANK(VLOOKUP(CONCATENATE($F32,"_",AN$4),Consejerias_2,MATCH(AN$3,Consejerías!$F$21:$O$21,0),0)),"",VLOOKUP(CONCATENATE($F32,"_",AN$4),Consejerias_2,MATCH(AN$3,Consejerías!$F$21:$O$21,0),0)),"")</f>
        <v>1</v>
      </c>
      <c r="AO32">
        <f>+IFERROR(IF(ISBLANK(VLOOKUP(CONCATENATE($F32,"_",AO$4),Consejerias_2,MATCH(AO$3,Consejerías!$F$21:$O$21,0),0)),"",VLOOKUP(CONCATENATE($F32,"_",AO$4),Consejerias_2,MATCH(AO$3,Consejerías!$F$21:$O$21,0),0)),"")</f>
        <v>1</v>
      </c>
      <c r="AP32" t="str">
        <f>+IFERROR(IF(ISBLANK(VLOOKUP(CONCATENATE($F32,"_",AP$4),Consejerias_2,MATCH(AP$3,Consejerías!$F$21:$O$21,0),0)),"",VLOOKUP(CONCATENATE($F32,"_",AP$4),Consejerias_2,MATCH(AP$3,Consejerías!$F$21:$O$21,0),0)),"")</f>
        <v>Para este mes la Oficina Consejería de Comunicaciones desarrolló la campaña interna denominada “Teletrabajo” dirigida a todos los servidores y contratistas de la entidad, con el fin de Afianzar el autocuidado, pero también su nuevo entorno de trabajo y actividades familiares (clases de los hijos virtuales, cuidado de adultos mayores, mascotas y teletrabajo, etc), mediante la divulgación de una cartilla de tips para el trabajo en casa, y divulgando un álbum fotográfico donde los servidores aportaron fotografías en su entorno de trabajo en casa.</v>
      </c>
      <c r="AQ32" t="str">
        <f>+IFERROR(IF(ISBLANK(VLOOKUP(CONCATENATE($F32,"_",AQ$4),Consejerias_2,MATCH(AQ$3,Consejerías!$F$21:$O$21,0),0)),"",VLOOKUP(CONCATENATE($F32,"_",AQ$4),Consejerias_2,MATCH(AQ$3,Consejerías!$F$21:$O$21,0),0)),"")</f>
        <v>Para este periodo no se generaron retrasos o dificultades ya que se cumplió con la programación realizada.</v>
      </c>
      <c r="AR32" t="str">
        <f>+IFERROR(IF(ISBLANK(VLOOKUP(CONCATENATE($F32,"_",AR$4),Consejerias_2,MATCH(AR$3,Consejerías!$F$21:$O$21,0),0)),"",VLOOKUP(CONCATENATE($F32,"_",AR$4),Consejerias_2,MATCH(AR$3,Consejerías!$F$21:$O$21,0),0)),"")</f>
        <v>Que Servidores y Contratistas de la Secretaría General sientan que son importantes para la entidad y que, aunque se está trabajando en casa se deben valorar los momentos en familia y con los integrantes del núcleo familiar .</v>
      </c>
      <c r="AS32">
        <f>+IFERROR(IF(ISBLANK(VLOOKUP(CONCATENATE($F32,"_",AS$4),Consejerias_2,MATCH(AS$3,Consejerías!$F$21:$O$21,0),0)),"",VLOOKUP(CONCATENATE($F32,"_",AS$4),Consejerias_2,MATCH(AS$3,Consejerías!$F$21:$O$21,0),0)),"")</f>
        <v>1</v>
      </c>
      <c r="AT32">
        <f>+IFERROR(IF(ISBLANK(VLOOKUP(CONCATENATE($F32,"_",AT$4),Consejerias_2,MATCH(AT$3,Consejerías!$F$21:$O$21,0),0)),"",VLOOKUP(CONCATENATE($F32,"_",AT$4),Consejerias_2,MATCH(AT$3,Consejerías!$F$21:$O$21,0),0)),"")</f>
        <v>1</v>
      </c>
      <c r="AU32" t="str">
        <f>+IFERROR(IF(ISBLANK(VLOOKUP(CONCATENATE($F32,"_",AU$4),Consejerias_2,MATCH(AU$3,Consejerías!$F$21:$O$21,0),0)),"",VLOOKUP(CONCATENATE($F32,"_",AU$4),Consejerias_2,MATCH(AU$3,Consejerías!$F$21:$O$21,0),0)),"")</f>
        <v>En el mes de mayo se desarrolló la campaña interna “Semana ambiental virtual en tiempos de COVID 19” cuyo objetivo es promover la adopción de prácticas sostenibles en la oficina y en el hogar para consumir recursos de manera responsable con el medio ambiente y con las generaciones futuras.</v>
      </c>
      <c r="AV32" t="str">
        <f>+IFERROR(IF(ISBLANK(VLOOKUP(CONCATENATE($F32,"_",AV$4),Consejerias_2,MATCH(AV$3,Consejerías!$F$21:$O$21,0),0)),"",VLOOKUP(CONCATENATE($F32,"_",AV$4),Consejerias_2,MATCH(AV$3,Consejerías!$F$21:$O$21,0),0)),"")</f>
        <v>Para este periodo no se generaron retrasos o dificultades ya que se cumplió con la programación realizada.</v>
      </c>
      <c r="AW32" t="str">
        <f>+IFERROR(IF(ISBLANK(VLOOKUP(CONCATENATE($F32,"_",AW$4),Consejerias_2,MATCH(AW$3,Consejerías!$F$21:$O$21,0),0)),"",VLOOKUP(CONCATENATE($F32,"_",AW$4),Consejerias_2,MATCH(AW$3,Consejerías!$F$21:$O$21,0),0)),"")</f>
        <v xml:space="preserve">El derecho constitucional a gozar de un ambiente sano y la promoción del cuidado del medio ambiente y la salud en el desarrollo de nuestras actividades. </v>
      </c>
      <c r="AX32">
        <f>+IFERROR(IF(ISBLANK(VLOOKUP(CONCATENATE($F32,"_",AX$4),Consejerias_2,MATCH(AX$3,Consejerías!$F$21:$O$21,0),0)),"",VLOOKUP(CONCATENATE($F32,"_",AX$4),Consejerias_2,MATCH(AX$3,Consejerías!$F$21:$O$21,0),0)),"")</f>
        <v>1</v>
      </c>
      <c r="AY32">
        <f>+IFERROR(IF(ISBLANK(VLOOKUP(CONCATENATE($F32,"_",AY$4),Consejerias_2,MATCH(AY$3,Consejerías!$F$21:$O$21,0),0)),"",VLOOKUP(CONCATENATE($F32,"_",AY$4),Consejerias_2,MATCH(AY$3,Consejerías!$F$21:$O$21,0),0)),"")</f>
        <v>1</v>
      </c>
      <c r="AZ32" t="str">
        <f>+IFERROR(IF(ISBLANK(VLOOKUP(CONCATENATE($F32,"_",AZ$4),Consejerias_2,MATCH(AZ$3,Consejerías!$F$21:$O$21,0),0)),"",VLOOKUP(CONCATENATE($F32,"_",AZ$4),Consejerias_2,MATCH(AZ$3,Consejerías!$F$21:$O$21,0),0)),"")</f>
        <v>En el mes de Junio, la Oficina Consejería de Comunicaciones desarrolló la campaña denominada "La Alegría de Leer" del Archivo de Bogotá, dando apoyo a la difusión en el nuevo lanzamiento de esta  exposición a través de canales internos.</v>
      </c>
      <c r="BA32" t="str">
        <f>+IFERROR(IF(ISBLANK(VLOOKUP(CONCATENATE($F32,"_",BA$4),Consejerias_2,MATCH(BA$3,Consejerías!$F$21:$O$21,0),0)),"",VLOOKUP(CONCATENATE($F32,"_",BA$4),Consejerias_2,MATCH(BA$3,Consejerías!$F$21:$O$21,0),0)),"")</f>
        <v>Para este periodo no se generaron retrasos o dificultades ya que se cumplió con la programación realizada.</v>
      </c>
      <c r="BB32" t="str">
        <f>+IFERROR(IF(ISBLANK(VLOOKUP(CONCATENATE($F32,"_",BB$4),Consejerias_2,MATCH(BB$3,Consejerías!$F$21:$O$21,0),0)),"",VLOOKUP(CONCATENATE($F32,"_",BB$4),Consejerias_2,MATCH(BB$3,Consejerías!$F$21:$O$21,0),0)),"")</f>
        <v>Dar a conocer cómo era la enseñanza primaria en la primera década del siglo XX.</v>
      </c>
      <c r="BC32">
        <f t="shared" si="10"/>
        <v>4</v>
      </c>
      <c r="BD32">
        <f t="shared" si="10"/>
        <v>4</v>
      </c>
      <c r="BE32" s="129" t="str">
        <f>+IFERROR(IF(ISBLANK(VLOOKUP(CONCATENATE($F32,"_",BE$4),P1126_4,MATCH(BE$3,PAAC!$E$19:$M$19,0),0)),"",VLOOKUP(CONCATENATE($F32,"_",BE$4),P1126_4,MATCH(BE$3,PAAC!$E$19:$M$19,0),0)),"")</f>
        <v/>
      </c>
      <c r="BF32" s="129" t="str">
        <f>+IFERROR(IF(ISBLANK(VLOOKUP(CONCATENATE($F32,"_",BF$4),P1126_4,MATCH(BF$3,PAAC!$E$19:$M$19,0),0)),"",VLOOKUP(CONCATENATE($F32,"_",BF$4),P1126_4,MATCH(BF$3,PAAC!$E$19:$M$19,0),0)),"")</f>
        <v/>
      </c>
      <c r="BG32" s="129" t="str">
        <f>+IFERROR(IF(ISBLANK(VLOOKUP(CONCATENATE($F32,"_",BG$4),P1126_4,MATCH(BG$3,PAAC!$E$19:$M$19,0),0)),"",VLOOKUP(CONCATENATE($F32,"_",BG$4),P1126_4,MATCH(BG$3,PAAC!$E$19:$M$19,0),0)),"")</f>
        <v/>
      </c>
      <c r="BH32" s="129" t="str">
        <f>+IFERROR(IF(ISBLANK(VLOOKUP(CONCATENATE($F32,"_",BH$4),P1126_4,MATCH(BH$3,PAAC!$E$19:$M$19,0),0)),"",VLOOKUP(CONCATENATE($F32,"_",BH$4),P1126_4,MATCH(BH$3,PAAC!$E$19:$M$19,0),0)),"")</f>
        <v/>
      </c>
      <c r="BI32" s="129" t="str">
        <f>+IFERROR(IF(ISBLANK(VLOOKUP(CONCATENATE($F32,"_",BI$4),P1126_4,MATCH(BI$3,PAAC!$E$19:$M$19,0),0)),"",VLOOKUP(CONCATENATE($F32,"_",BI$4),P1126_4,MATCH(BI$3,PAAC!$E$19:$M$19,0),0)),"")</f>
        <v/>
      </c>
      <c r="BJ32" s="129" t="str">
        <f>+IFERROR(IF(ISBLANK(VLOOKUP(CONCATENATE($F32,"_",BJ$4),P1126_4,MATCH(BJ$3,PAAC!$E$19:$M$19,0),0)),"",VLOOKUP(CONCATENATE($F32,"_",BJ$4),P1126_4,MATCH(BJ$3,PAAC!$E$19:$M$19,0),0)),"")</f>
        <v/>
      </c>
      <c r="BK32" s="129" t="str">
        <f>+IFERROR(IF(ISBLANK(VLOOKUP(CONCATENATE($F32,"_",BK$4),P1126_4,MATCH(BK$3,PAAC!$E$19:$M$19,0),0)),"",VLOOKUP(CONCATENATE($F32,"_",BK$4),P1126_4,MATCH(BK$3,PAAC!$E$19:$M$19,0),0)),"")</f>
        <v/>
      </c>
      <c r="BL32" s="129" t="str">
        <f>+IFERROR(IF(ISBLANK(VLOOKUP(CONCATENATE($F32,"_",BL$4),P1126_4,MATCH(BL$3,PAAC!$E$19:$M$19,0),0)),"",VLOOKUP(CONCATENATE($F32,"_",BL$4),P1126_4,MATCH(BL$3,PAAC!$E$19:$M$19,0),0)),"")</f>
        <v/>
      </c>
      <c r="BM32" s="129" t="str">
        <f>+IFERROR(IF(ISBLANK(VLOOKUP(CONCATENATE($F32,"_",BM$4),P1126_4,MATCH(BM$3,PAAC!$E$19:$M$19,0),0)),"",VLOOKUP(CONCATENATE($F32,"_",BM$4),P1126_4,MATCH(BM$3,PAAC!$E$19:$M$19,0),0)),"")</f>
        <v/>
      </c>
      <c r="BN32" s="129" t="str">
        <f>+IFERROR(IF(ISBLANK(VLOOKUP(CONCATENATE($F32,"_",BN$4),P1126_4,MATCH(BN$3,PAAC!$E$19:$M$19,0),0)),"",VLOOKUP(CONCATENATE($F32,"_",BN$4),P1126_4,MATCH(BN$3,PAAC!$E$19:$M$19,0),0)),"")</f>
        <v/>
      </c>
      <c r="BO32" s="129" t="str">
        <f>+IFERROR(IF(ISBLANK(VLOOKUP(CONCATENATE($F32,"_",BO$4),P1126_4,MATCH(BO$3,PAAC!$E$19:$M$19,0),0)),"",VLOOKUP(CONCATENATE($F32,"_",BO$4),P1126_4,MATCH(BO$3,PAAC!$E$19:$M$19,0),0)),"")</f>
        <v/>
      </c>
      <c r="BP32" s="129" t="str">
        <f>+IFERROR(IF(ISBLANK(VLOOKUP(CONCATENATE($F32,"_",BP$4),P1126_4,MATCH(BP$3,PAAC!$E$19:$M$19,0),0)),"",VLOOKUP(CONCATENATE($F32,"_",BP$4),P1126_4,MATCH(BP$3,PAAC!$E$19:$M$19,0),0)),"")</f>
        <v/>
      </c>
      <c r="BQ32" s="129" t="str">
        <f>+IFERROR(IF(ISBLANK(VLOOKUP(CONCATENATE($F32,"_",BQ$4),P1126_4,MATCH(BQ$3,PAAC!$E$19:$M$19,0),0)),"",VLOOKUP(CONCATENATE($F32,"_",BQ$4),P1126_4,MATCH(BQ$3,PAAC!$E$19:$M$19,0),0)),"")</f>
        <v/>
      </c>
      <c r="BR32" s="129" t="str">
        <f>+IFERROR(IF(ISBLANK(VLOOKUP(CONCATENATE($F32,"_",BR$4),P1126_4,MATCH(BR$3,PAAC!$E$19:$M$19,0),0)),"",VLOOKUP(CONCATENATE($F32,"_",BR$4),P1126_4,MATCH(BR$3,PAAC!$E$19:$M$19,0),0)),"")</f>
        <v/>
      </c>
      <c r="BS32" s="129" t="str">
        <f>+IFERROR(IF(ISBLANK(VLOOKUP(CONCATENATE($F32,"_",BS$4),P1126_4,MATCH(BS$3,PAAC!$E$19:$M$19,0),0)),"",VLOOKUP(CONCATENATE($F32,"_",BS$4),P1126_4,MATCH(BS$3,PAAC!$E$19:$M$19,0),0)),"")</f>
        <v/>
      </c>
      <c r="BT32" s="129" t="str">
        <f>+IFERROR(IF(ISBLANK(VLOOKUP(CONCATENATE($F32,"_",BT$4),P1126_4,MATCH(BT$3,PAAC!$E$19:$M$19,0),0)),"",VLOOKUP(CONCATENATE($F32,"_",BT$4),P1126_4,MATCH(BT$3,PAAC!$E$19:$M$19,0),0)),"")</f>
        <v/>
      </c>
      <c r="BU32" s="129" t="str">
        <f>+IFERROR(IF(ISBLANK(VLOOKUP(CONCATENATE($F32,"_",BU$4),P1126_4,MATCH(BU$3,PAAC!$E$19:$M$19,0),0)),"",VLOOKUP(CONCATENATE($F32,"_",BU$4),P1126_4,MATCH(BU$3,PAAC!$E$19:$M$19,0),0)),"")</f>
        <v/>
      </c>
      <c r="BV32" s="129" t="str">
        <f>+IFERROR(IF(ISBLANK(VLOOKUP(CONCATENATE($F32,"_",BV$4),P1126_4,MATCH(BV$3,PAAC!$E$19:$M$19,0),0)),"",VLOOKUP(CONCATENATE($F32,"_",BV$4),P1126_4,MATCH(BV$3,PAAC!$E$19:$M$19,0),0)),"")</f>
        <v/>
      </c>
      <c r="BW32" s="129" t="str">
        <f>+IFERROR(IF(ISBLANK(VLOOKUP(CONCATENATE($F32,"_",BW$4),P1126_4,MATCH(BW$3,PAAC!$E$19:$M$19,0),0)),"",VLOOKUP(CONCATENATE($F32,"_",BW$4),P1126_4,MATCH(BW$3,PAAC!$E$19:$M$19,0),0)),"")</f>
        <v/>
      </c>
      <c r="BX32" s="129" t="str">
        <f>+IFERROR(IF(ISBLANK(VLOOKUP(CONCATENATE($F32,"_",BX$4),P1126_4,MATCH(BX$3,PAAC!$E$19:$M$19,0),0)),"",VLOOKUP(CONCATENATE($F32,"_",BX$4),P1126_4,MATCH(BX$3,PAAC!$E$19:$M$19,0),0)),"")</f>
        <v/>
      </c>
      <c r="BY32" s="129" t="str">
        <f>+IFERROR(IF(ISBLANK(VLOOKUP(CONCATENATE($F32,"_",BY$4),P1126_4,MATCH(BY$3,PAAC!$E$19:$M$19,0),0)),"",VLOOKUP(CONCATENATE($F32,"_",BY$4),P1126_4,MATCH(BY$3,PAAC!$E$19:$M$19,0),0)),"")</f>
        <v/>
      </c>
      <c r="BZ32" s="129" t="str">
        <f>+IFERROR(IF(ISBLANK(VLOOKUP(CONCATENATE($F32,"_",BZ$4),P1126_4,MATCH(BZ$3,PAAC!$E$19:$M$19,0),0)),"",VLOOKUP(CONCATENATE($F32,"_",BZ$4),P1126_4,MATCH(BZ$3,PAAC!$E$19:$M$19,0),0)),"")</f>
        <v/>
      </c>
      <c r="CA32" s="129" t="str">
        <f>+IFERROR(IF(ISBLANK(VLOOKUP(CONCATENATE($F32,"_",CA$4),P1126_4,MATCH(CA$3,PAAC!$E$19:$M$19,0),0)),"",VLOOKUP(CONCATENATE($F32,"_",CA$4),P1126_4,MATCH(CA$3,PAAC!$E$19:$M$19,0),0)),"")</f>
        <v/>
      </c>
      <c r="CB32" s="129" t="str">
        <f>+IFERROR(IF(ISBLANK(VLOOKUP(CONCATENATE($F32,"_",CB$4),P1126_4,MATCH(CB$3,PAAC!$E$19:$M$19,0),0)),"",VLOOKUP(CONCATENATE($F32,"_",CB$4),P1126_4,MATCH(CB$3,PAAC!$E$19:$M$19,0),0)),"")</f>
        <v/>
      </c>
      <c r="CC32" s="129" t="str">
        <f>+IFERROR(IF(ISBLANK(VLOOKUP(CONCATENATE($F32,"_",CC$4),P1126_4,MATCH(CC$3,PAAC!$E$19:$M$19,0),0)),"",VLOOKUP(CONCATENATE($F32,"_",CC$4),P1126_4,MATCH(CC$3,PAAC!$E$19:$M$19,0),0)),"")</f>
        <v/>
      </c>
      <c r="CD32" s="129" t="str">
        <f t="shared" si="11"/>
        <v/>
      </c>
      <c r="CE32" s="129" t="str">
        <f t="shared" si="3"/>
        <v/>
      </c>
      <c r="CF32" s="129" t="str">
        <f t="shared" si="4"/>
        <v/>
      </c>
      <c r="CG32" s="129" t="str">
        <f t="shared" si="5"/>
        <v/>
      </c>
      <c r="CH32" s="129" t="str">
        <f t="shared" si="6"/>
        <v/>
      </c>
      <c r="CI32" t="str">
        <f t="shared" si="22"/>
        <v>Cumple</v>
      </c>
      <c r="CJ32" t="str">
        <f t="shared" si="22"/>
        <v>Cumplido</v>
      </c>
      <c r="CK32" t="str">
        <f t="shared" si="22"/>
        <v>Adecuado</v>
      </c>
      <c r="CL32" t="str">
        <f t="shared" si="22"/>
        <v>Coherente</v>
      </c>
      <c r="CM32" t="str">
        <f t="shared" si="22"/>
        <v>Concuerda</v>
      </c>
      <c r="CN32" t="str">
        <f t="shared" si="22"/>
        <v>Concuerda</v>
      </c>
      <c r="CO32" t="str">
        <f t="shared" si="22"/>
        <v>Relación directa</v>
      </c>
      <c r="CP32" t="str">
        <f t="shared" si="22"/>
        <v>Adecuado</v>
      </c>
      <c r="CQ32" t="str">
        <f t="shared" si="22"/>
        <v>Oportuna</v>
      </c>
      <c r="CR32" t="str">
        <f t="shared" si="22"/>
        <v>Ninguna</v>
      </c>
      <c r="CS32" t="str">
        <f t="shared" si="23"/>
        <v>Marcela Andrea García Guerrero</v>
      </c>
      <c r="CT32" t="str">
        <f t="shared" si="23"/>
        <v>Cumple</v>
      </c>
      <c r="CU32" t="str">
        <f t="shared" si="23"/>
        <v>Cumplido</v>
      </c>
      <c r="CV32" t="str">
        <f t="shared" si="23"/>
        <v>Adecuado</v>
      </c>
      <c r="CW32" t="str">
        <f t="shared" si="23"/>
        <v>Coherente</v>
      </c>
      <c r="CX32" t="str">
        <f t="shared" si="23"/>
        <v>Concuerda</v>
      </c>
      <c r="CY32" t="str">
        <f t="shared" si="23"/>
        <v>Concuerda</v>
      </c>
      <c r="CZ32" t="str">
        <f t="shared" si="23"/>
        <v>Relación directa</v>
      </c>
      <c r="DA32" t="str">
        <f t="shared" si="23"/>
        <v>Adecuado</v>
      </c>
      <c r="DB32" t="str">
        <f t="shared" si="23"/>
        <v>Oportuna</v>
      </c>
      <c r="DC32" t="str">
        <f t="shared" si="24"/>
        <v>No se tienen observaciones.</v>
      </c>
      <c r="DD32" t="str">
        <f t="shared" si="24"/>
        <v>Cesar Arcos</v>
      </c>
      <c r="DE32" t="e">
        <f t="shared" si="24"/>
        <v>#REF!</v>
      </c>
      <c r="DF32" t="e">
        <f t="shared" si="24"/>
        <v>#REF!</v>
      </c>
      <c r="DG32" t="e">
        <f t="shared" si="24"/>
        <v>#REF!</v>
      </c>
      <c r="DH32" t="e">
        <f t="shared" si="24"/>
        <v>#REF!</v>
      </c>
      <c r="DI32" t="e">
        <f t="shared" si="24"/>
        <v>#REF!</v>
      </c>
      <c r="DJ32" t="e">
        <f t="shared" si="24"/>
        <v>#REF!</v>
      </c>
      <c r="DK32" t="e">
        <f t="shared" si="24"/>
        <v>#REF!</v>
      </c>
      <c r="DL32" t="e">
        <f t="shared" si="24"/>
        <v>#REF!</v>
      </c>
      <c r="DM32" t="e">
        <f t="shared" si="25"/>
        <v>#REF!</v>
      </c>
      <c r="DN32" t="e">
        <f t="shared" si="25"/>
        <v>#REF!</v>
      </c>
      <c r="DO32" t="e">
        <f t="shared" si="25"/>
        <v>#REF!</v>
      </c>
      <c r="DP32" t="e">
        <f t="shared" si="25"/>
        <v>#REF!</v>
      </c>
      <c r="DQ32" t="e">
        <f t="shared" si="25"/>
        <v>#REF!</v>
      </c>
      <c r="DR32" t="e">
        <f t="shared" si="25"/>
        <v>#REF!</v>
      </c>
      <c r="DS32" t="e">
        <f t="shared" si="25"/>
        <v>#REF!</v>
      </c>
      <c r="DT32" t="e">
        <f t="shared" si="25"/>
        <v>#REF!</v>
      </c>
      <c r="DU32" t="e">
        <f t="shared" si="25"/>
        <v>#REF!</v>
      </c>
      <c r="DV32" t="e">
        <f t="shared" si="25"/>
        <v>#REF!</v>
      </c>
      <c r="DW32" t="e">
        <f t="shared" si="25"/>
        <v>#REF!</v>
      </c>
      <c r="DX32" t="e">
        <f t="shared" si="25"/>
        <v>#REF!</v>
      </c>
    </row>
    <row r="33" spans="1:128" x14ac:dyDescent="0.3">
      <c r="A33" s="423" t="str">
        <f t="shared" si="16"/>
        <v>19C</v>
      </c>
      <c r="B33" t="str">
        <f t="shared" si="17"/>
        <v xml:space="preserve">1_Dirección Distrital de Archivo </v>
      </c>
      <c r="C33">
        <f t="shared" si="8"/>
        <v>1</v>
      </c>
      <c r="D33" t="str">
        <f t="shared" si="0"/>
        <v xml:space="preserve">Dirección Distrital de Archivo </v>
      </c>
      <c r="E33" t="str">
        <f t="shared" si="1"/>
        <v>arc</v>
      </c>
      <c r="F33" s="208" t="str">
        <f>'Sub. Técnica'!D10</f>
        <v>19C</v>
      </c>
      <c r="G33" t="str">
        <f t="shared" si="30"/>
        <v>Constante</v>
      </c>
      <c r="H33" t="str">
        <f t="shared" si="30"/>
        <v>Porcentaje</v>
      </c>
      <c r="I33" t="str">
        <f t="shared" si="30"/>
        <v>No Disponible / No Aplica</v>
      </c>
      <c r="J33">
        <f t="shared" si="30"/>
        <v>1</v>
      </c>
      <c r="K33" t="str">
        <f>+IFERROR(VLOOKUP($F33,Subtecnica_1,MATCH(K$5,'Sub. Técnica'!$D$9:$V$9,0),0),"")</f>
        <v>Suma</v>
      </c>
      <c r="L33">
        <f>+IFERROR(VLOOKUP($F33,Subtecnica_1,MATCH(L$5,'Sub. Técnica'!$D$9:$V$9,0),0),"")</f>
        <v>3</v>
      </c>
      <c r="M33">
        <f t="shared" si="9"/>
        <v>1</v>
      </c>
      <c r="N33">
        <f>+IFERROR(VLOOKUP($F33,Subtecnica_1,MATCH(N$5,'Sub. Técnica'!$D$9:$V$9,0),0),"")</f>
        <v>1</v>
      </c>
      <c r="O33">
        <f>+IFERROR(VLOOKUP($F33,Subtecnica_1,MATCH(O$5,'Sub. Técnica'!$D$9:$V$9,0),0),"")</f>
        <v>0</v>
      </c>
      <c r="P33">
        <f>+IFERROR(VLOOKUP($F33,Subtecnica_1,MATCH(P$5,'Sub. Técnica'!$D$9:$V$9,0),0),"")</f>
        <v>0</v>
      </c>
      <c r="Q33">
        <f>+IFERROR(VLOOKUP($F33,Subtecnica_1,MATCH(Q$5,'Sub. Técnica'!$D$9:$V$9,0),0),"")</f>
        <v>0</v>
      </c>
      <c r="R33">
        <f>+IFERROR(VLOOKUP($F33,Subtecnica_1,MATCH(R$5,'Sub. Técnica'!$D$9:$V$9,0),0),"")</f>
        <v>1</v>
      </c>
      <c r="S33">
        <f>+IFERROR(VLOOKUP($F33,Subtecnica_1,MATCH(S$5,'Sub. Técnica'!$D$9:$V$9,0),0),"")</f>
        <v>1</v>
      </c>
      <c r="T33">
        <f>+IFERROR(VLOOKUP($F33,Subtecnica_1,MATCH(T$5,'Sub. Técnica'!$D$9:$V$9,0),0),"")</f>
        <v>100</v>
      </c>
      <c r="U33" t="str">
        <f>+IFERROR(VLOOKUP($F33,Subtecnica_1,MATCH(U$5,'Sub. Técnica'!$D$9:$V$9,0),0),"")</f>
        <v xml:space="preserve">Por medio de acciones programadas se contribuye al cumplimiento del plan de trabajo del Consejo Distrital de Archivos de Bogotá de conformidad  con  las funciones que normativamente le han sido asignadas para ejecutarlas y hacer seguimiento a las mismas, con el fin de orientar la gestión de la política archivística en el Distrito Capital. </v>
      </c>
      <c r="V33" t="str">
        <f>+IFERROR(VLOOKUP($F33,Subtecnica_1,MATCH(V$5,'Sub. Técnica'!$D$9:$V$9,0),0),"")</f>
        <v>1. Realizar informe semestral  del Consejo Distrital de Archivos para remitir al Archivo General de la Nación.
2.Realizar las sesiones del Consejo Distrital de Archivos.</v>
      </c>
      <c r="W33" t="str">
        <f>+IFERROR(VLOOKUP($F33,Subtecnica_1,MATCH(W$5,'Sub. Técnica'!$D$9:$V$9,0),0),"")</f>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
      <c r="X33" t="str">
        <f>+IFERROR(VLOOKUP($F33,Subtecnica_1,MATCH(X$5,'Sub. Técnica'!$D$9:$V$9,0),0),"")</f>
        <v>Memorando al Archivo General de la Nación del Informe de gestión del segundo semestre del año 2019 del Consejo Distrital de Archivos D.C. y Actas del Consejo Distrital de Archivos suscritas y publicadas.</v>
      </c>
      <c r="Y33">
        <f>+IFERROR(IF(ISBLANK(VLOOKUP(CONCATENATE($F33,"_",Y$4),Subtecnica_2,MATCH(Y$3,'Sub. Técnica'!$F$26:$O$26,0),0)),"",VLOOKUP(CONCATENATE($F33,"_",Y$4),Subtecnica_2,MATCH(Y$3,'Sub. Técnica'!$F$26:$O$26,0),0)),"")</f>
        <v>1</v>
      </c>
      <c r="Z33">
        <f>+IFERROR(IF(ISBLANK(VLOOKUP(CONCATENATE($F33,"_",Z$4),Subtecnica_2,MATCH(Z$3,'Sub. Técnica'!$F$26:$O$26,0),0)),"",VLOOKUP(CONCATENATE($F33,"_",Z$4),Subtecnica_2,MATCH(Z$3,'Sub. Técnica'!$F$26:$O$26,0),0)),"")</f>
        <v>1</v>
      </c>
      <c r="AA33" t="str">
        <f>+IFERROR(IF(ISBLANK(VLOOKUP(CONCATENATE($F33,"_",AA$4),Subtecnica_2,MATCH(AA$3,'Sub. Técnica'!$F$26:$O$26,0),0)),"",VLOOKUP(CONCATENATE($F33,"_",AA$4),Subtecnica_2,MATCH(AA$3,'Sub. Técnica'!$F$26:$O$26,0),0)),"")</f>
        <v xml:space="preserve">Producto:     
 *Se elaboró y remitió al Archivo General de la Nación el informe de gestión del segundo semestre del año 2019 del Consejo Distrital de Archivos de Bogotá, D.C. por medio de la comunicación de radicado 2-2020-380 del 8 de enero del 2020.      
   Gestión:  
  *El dia 22 de enero se realizó la primera sesión del Consejo Distrital de Archivos de Bogotá, D.C. la cual quedó suspendida porque no se alcanzó a cubrir el orden del día en su totalidad en el tiempo citado.
*Se elaboró el plan de trabajo del Consejo Distrital de Archivos de Bogotá, D.C. para la vigencia 2020, el cual fue aprobado provisionalmente en la sesión mencionada.                                                                                                                                                                </v>
      </c>
      <c r="AB33" t="str">
        <f>+IFERROR(IF(ISBLANK(VLOOKUP(CONCATENATE($F33,"_",AB$4),Subtecnica_2,MATCH(AB$3,'Sub. Técnica'!$F$26:$O$26,0),0)),"",VLOOKUP(CONCATENATE($F33,"_",AB$4),Subtecnica_2,MATCH(AB$3,'Sub. Técnica'!$F$26:$O$26,0),0)),"")</f>
        <v>No fue posible terminar la sesión del Consejo de este mes, por lo que su continuación quedó  programada via correo electronico para el mes de marzo 2020.</v>
      </c>
      <c r="AC33" t="str">
        <f>+IFERROR(IF(ISBLANK(VLOOKUP(CONCATENATE($F33,"_",AC$4),Subtecnica_2,MATCH(AC$3,'Sub. Técnica'!$F$26:$O$26,0),0)),"",VLOOKUP(CONCATENATE($F33,"_",AC$4),Subtecnica_2,MATCH(AC$3,'Sub. Técnica'!$F$26:$O$26,0),0)),"")</f>
        <v>*La aprobación del plan de trabajo permitirá su implementación a lo largo de la vigencia y el cumplimiento de la misionalidad del Consejo Distrital de Archivos.
*La Dirección Distrital de Archivo de Bogotá, dio cumplimiento con el informe semestral del año 2019 del Consejo Distrital de Archivos.</v>
      </c>
      <c r="AD33">
        <f>+IFERROR(IF(ISBLANK(VLOOKUP(CONCATENATE($F33,"_",AD$4),Subtecnica_2,MATCH(AD$3,'Sub. Técnica'!$F$26:$O$26,0),0)),"",VLOOKUP(CONCATENATE($F33,"_",AD$4),Subtecnica_2,MATCH(AD$3,'Sub. Técnica'!$F$26:$O$26,0),0)),"")</f>
        <v>0</v>
      </c>
      <c r="AE33">
        <f>+IFERROR(IF(ISBLANK(VLOOKUP(CONCATENATE($F33,"_",AE$4),Subtecnica_2,MATCH(AE$3,'Sub. Técnica'!$F$26:$O$26,0),0)),"",VLOOKUP(CONCATENATE($F33,"_",AE$4),Subtecnica_2,MATCH(AE$3,'Sub. Técnica'!$F$26:$O$26,0),0)),"")</f>
        <v>0</v>
      </c>
      <c r="AF33" t="str">
        <f>+IFERROR(IF(ISBLANK(VLOOKUP(CONCATENATE($F33,"_",AF$4),Subtecnica_2,MATCH(AF$3,'Sub. Técnica'!$F$26:$O$26,0),0)),"",VLOOKUP(CONCATENATE($F33,"_",AF$4),Subtecnica_2,MATCH(AF$3,'Sub. Técnica'!$F$26:$O$26,0),0)),"")</f>
        <v xml:space="preserve">                     Gestión:               
 Durante el mes se remitió el plan de trabajo del Consejo Distrital de Archivos de Bogotá, D.C. al Archivo General de la Nación por medio de la comunicación de radicado 2-2020-2869 del 5 de febrero.                                                              </v>
      </c>
      <c r="AG33" t="str">
        <f>+IFERROR(IF(ISBLANK(VLOOKUP(CONCATENATE($F33,"_",AG$4),Subtecnica_2,MATCH(AG$3,'Sub. Técnica'!$F$26:$O$26,0),0)),"",VLOOKUP(CONCATENATE($F33,"_",AG$4),Subtecnica_2,MATCH(AG$3,'Sub. Técnica'!$F$26:$O$26,0),0)),"")</f>
        <v>No Aplica</v>
      </c>
      <c r="AH33" t="str">
        <f>+IFERROR(IF(ISBLANK(VLOOKUP(CONCATENATE($F33,"_",AH$4),Subtecnica_2,MATCH(AH$3,'Sub. Técnica'!$F$26:$O$26,0),0)),"",VLOOKUP(CONCATENATE($F33,"_",AH$4),Subtecnica_2,MATCH(AH$3,'Sub. Técnica'!$F$26:$O$26,0),0)),"")</f>
        <v>Se oficializa y socializa el  plan de trabajo ante el Archivo General de la Nación las acciones que el Consejo emprenderá durante la vigencia con la Dirección Distrital de Archivo de Bogotá como secretaría técnica.</v>
      </c>
      <c r="AI33">
        <f>+IFERROR(IF(ISBLANK(VLOOKUP(CONCATENATE($F33,"_",AI$4),Subtecnica_2,MATCH(AI$3,'Sub. Técnica'!$F$26:$O$26,0),0)),"",VLOOKUP(CONCATENATE($F33,"_",AI$4),Subtecnica_2,MATCH(AI$3,'Sub. Técnica'!$F$26:$O$26,0),0)),"")</f>
        <v>0</v>
      </c>
      <c r="AJ33">
        <f>+IFERROR(IF(ISBLANK(VLOOKUP(CONCATENATE($F33,"_",AJ$4),Subtecnica_2,MATCH(AJ$3,'Sub. Técnica'!$F$26:$O$26,0),0)),"",VLOOKUP(CONCATENATE($F33,"_",AJ$4),Subtecnica_2,MATCH(AJ$3,'Sub. Técnica'!$F$26:$O$26,0),0)),"")</f>
        <v>0</v>
      </c>
      <c r="AK33" t="str">
        <f>+IFERROR(IF(ISBLANK(VLOOKUP(CONCATENATE($F33,"_",AK$4),Subtecnica_2,MATCH(AK$3,'Sub. Técnica'!$F$26:$O$26,0),0)),"",VLOOKUP(CONCATENATE($F33,"_",AK$4),Subtecnica_2,MATCH(AK$3,'Sub. Técnica'!$F$26:$O$26,0),0)),"")</f>
        <v xml:space="preserve">                                                                                                                                                    Gestión:                   
  El día 6 de marzo se dió continuación y finalización de la primera sesión de CDA  que comenzó en el mes de enero de forma presencial y se continuo de manera virtual por medio de  correo electrónico.</v>
      </c>
      <c r="AL33" t="str">
        <f>+IFERROR(IF(ISBLANK(VLOOKUP(CONCATENATE($F33,"_",AL$4),Subtecnica_2,MATCH(AL$3,'Sub. Técnica'!$F$26:$O$26,0),0)),"",VLOOKUP(CONCATENATE($F33,"_",AL$4),Subtecnica_2,MATCH(AL$3,'Sub. Técnica'!$F$26:$O$26,0),0)),"")</f>
        <v xml:space="preserve"> La continuación de la primera sesión del Consejo Distrital de Archivos de Bogotá se realizó de manera virtual,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           </v>
      </c>
      <c r="AM33" t="str">
        <f>+IFERROR(IF(ISBLANK(VLOOKUP(CONCATENATE($F33,"_",AM$4),Subtecnica_2,MATCH(AM$3,'Sub. Técnica'!$F$26:$O$26,0),0)),"",VLOOKUP(CONCATENATE($F33,"_",AM$4),Subtecnica_2,MATCH(AM$3,'Sub. Técnica'!$F$26:$O$26,0),0)),"")</f>
        <v>Con la finalización de la primera sesión del Consejo de manera virtual se podrá oficializar la convalidación de las Tablas de Retención Documental -TRD y las Tablas de Valoración Documental -TVD que contaron con visto bueno de los miembros, junto con el Acta que se encuentra en revisión, esto permirá a estas entidades hacer el registro de sus tablas ante el Archivo General de la Nación e iniciar su implementación.</v>
      </c>
      <c r="AN33">
        <f>+IFERROR(IF(ISBLANK(VLOOKUP(CONCATENATE($F33,"_",AN$4),Subtecnica_2,MATCH(AN$3,'Sub. Técnica'!$F$26:$O$26,0),0)),"",VLOOKUP(CONCATENATE($F33,"_",AN$4),Subtecnica_2,MATCH(AN$3,'Sub. Técnica'!$F$26:$O$26,0),0)),"")</f>
        <v>0</v>
      </c>
      <c r="AO33">
        <f>+IFERROR(IF(ISBLANK(VLOOKUP(CONCATENATE($F33,"_",AO$4),Subtecnica_2,MATCH(AO$3,'Sub. Técnica'!$F$26:$O$26,0),0)),"",VLOOKUP(CONCATENATE($F33,"_",AO$4),Subtecnica_2,MATCH(AO$3,'Sub. Técnica'!$F$26:$O$26,0),0)),"")</f>
        <v>0</v>
      </c>
      <c r="AP33" t="str">
        <f>+IFERROR(IF(ISBLANK(VLOOKUP(CONCATENATE($F33,"_",AP$4),Subtecnica_2,MATCH(AP$3,'Sub. Técnica'!$F$26:$O$26,0),0)),"",VLOOKUP(CONCATENATE($F33,"_",AP$4),Subtecnica_2,MATCH(AP$3,'Sub. Técnica'!$F$26:$O$26,0),0)),"")</f>
        <v>Gestión: 
Durante este periodo se realizó la segunda sesión ordinaria del Consejo Distrital de Archivos de Bogotá, D.C. el 30 de abril. La sesión se realizó de manera virtual por el aplicativo Teams.</v>
      </c>
      <c r="AQ33" t="str">
        <f>+IFERROR(IF(ISBLANK(VLOOKUP(CONCATENATE($F33,"_",AQ$4),Subtecnica_2,MATCH(AQ$3,'Sub. Técnica'!$F$26:$O$26,0),0)),"",VLOOKUP(CONCATENATE($F33,"_",AQ$4),Subtecnica_2,MATCH(AQ$3,'Sub. Técnica'!$F$26:$O$26,0),0)),"")</f>
        <v>No Aplica</v>
      </c>
      <c r="AR33" t="str">
        <f>+IFERROR(IF(ISBLANK(VLOOKUP(CONCATENATE($F33,"_",AR$4),Subtecnica_2,MATCH(AR$3,'Sub. Técnica'!$F$26:$O$26,0),0)),"",VLOOKUP(CONCATENATE($F33,"_",AR$4),Subtecnica_2,MATCH(AR$3,'Sub. Técnica'!$F$26:$O$26,0),0)),"")</f>
        <v>La realización de la segunda sesión del Consejo Distrital de Archivos de Bogotá, D.C. permitió presentar los avances de ejecución del primer trimestre del plan de acción del Consejo y convalidar la actualización de la Tabla de Retención Documental -TRD de la Secretaría Distrital de Cultura, Recreación y Deporte</v>
      </c>
      <c r="AS33">
        <f>+IFERROR(IF(ISBLANK(VLOOKUP(CONCATENATE($F33,"_",AS$4),Subtecnica_2,MATCH(AS$3,'Sub. Técnica'!$F$26:$O$26,0),0)),"",VLOOKUP(CONCATENATE($F33,"_",AS$4),Subtecnica_2,MATCH(AS$3,'Sub. Técnica'!$F$26:$O$26,0),0)),"")</f>
        <v>1</v>
      </c>
      <c r="AT33">
        <f>+IFERROR(IF(ISBLANK(VLOOKUP(CONCATENATE($F33,"_",AT$4),Subtecnica_2,MATCH(AT$3,'Sub. Técnica'!$F$26:$O$26,0),0)),"",VLOOKUP(CONCATENATE($F33,"_",AT$4),Subtecnica_2,MATCH(AT$3,'Sub. Técnica'!$F$26:$O$26,0),0)),"")</f>
        <v>1</v>
      </c>
      <c r="AU33" t="str">
        <f>+IFERROR(IF(ISBLANK(VLOOKUP(CONCATENATE($F33,"_",AU$4),Subtecnica_2,MATCH(AU$3,'Sub. Técnica'!$F$26:$O$26,0),0)),"",VLOOKUP(CONCATENATE($F33,"_",AU$4),Subtecnica_2,MATCH(AU$3,'Sub. Técnica'!$F$26:$O$26,0),0)),"")</f>
        <v xml:space="preserve">Producto:
 Se suscribió y publicó el acta de la primera sesión del Consejo Distrital de Archivos de Bogotá, D.C. en la página web de la Secretaria General de la Alcaldía Mayor de Bogotá, D.C.   http://archivobogota.secretariageneral.gov.co/sites/default/files/documentos-cda/Acta-primera-CDA-2020.pdf   
Gestión:
El 29 de mayo se realizó la tercera sesión del Consejo Distrital de Archivos de Bogotá, D.C. en la cual se evaluaron las TRD de Contraloría, SDH, SDE , IDARTES, Secretaría de Tercer Milenio y SDM  El acta de esta sesión se proyectará el mes de junio de 2020.
</v>
      </c>
      <c r="AV33" t="str">
        <f>+IFERROR(IF(ISBLANK(VLOOKUP(CONCATENATE($F33,"_",AV$4),Subtecnica_2,MATCH(AV$3,'Sub. Técnica'!$F$26:$O$26,0),0)),"",VLOOKUP(CONCATENATE($F33,"_",AV$4),Subtecnica_2,MATCH(AV$3,'Sub. Técnica'!$F$26:$O$26,0),0)),"")</f>
        <v>No Aplica</v>
      </c>
      <c r="AW33" t="str">
        <f>+IFERROR(IF(ISBLANK(VLOOKUP(CONCATENATE($F33,"_",AW$4),Subtecnica_2,MATCH(AW$3,'Sub. Técnica'!$F$26:$O$26,0),0)),"",VLOOKUP(CONCATENATE($F33,"_",AW$4),Subtecnica_2,MATCH(AW$3,'Sub. Técnica'!$F$26:$O$26,0),0)),"")</f>
        <v>La ciudadanía puede acceder a la publicación del Acta del Consejo Distrital de Archivos de Bogotá D.C. de acuerdo con la obligación contenida en el artículo 5 del Decreto Distrital 329 de 2019, dando así cumplimiento al acceso a la información por medio de la publicación de la misma, mediante el link: http://archivobogota.secretariageneral.gov.co/sites/default/files/documentos-cda/Acta-primera-CDA-2020.pdf</v>
      </c>
      <c r="AX33">
        <f>+IFERROR(IF(ISBLANK(VLOOKUP(CONCATENATE($F33,"_",AX$4),Subtecnica_2,MATCH(AX$3,'Sub. Técnica'!$F$26:$O$26,0),0)),"",VLOOKUP(CONCATENATE($F33,"_",AX$4),Subtecnica_2,MATCH(AX$3,'Sub. Técnica'!$F$26:$O$26,0),0)),"")</f>
        <v>1</v>
      </c>
      <c r="AY33">
        <f>+IFERROR(IF(ISBLANK(VLOOKUP(CONCATENATE($F33,"_",AY$4),Subtecnica_2,MATCH(AY$3,'Sub. Técnica'!$F$26:$O$26,0),0)),"",VLOOKUP(CONCATENATE($F33,"_",AY$4),Subtecnica_2,MATCH(AY$3,'Sub. Técnica'!$F$26:$O$26,0),0)),"")</f>
        <v>1</v>
      </c>
      <c r="AZ33" t="str">
        <f>+IFERROR(IF(ISBLANK(VLOOKUP(CONCATENATE($F33,"_",AZ$4),Subtecnica_2,MATCH(AZ$3,'Sub. Técnica'!$F$26:$O$26,0),0)),"",VLOOKUP(CONCATENATE($F33,"_",AZ$4),Subtecnica_2,MATCH(AZ$3,'Sub. Técnica'!$F$26:$O$26,0),0)),"")</f>
        <v>Producto:
Se suscribió y publicó el acta de la segunda sesión del Consejo Distrital de Archivos de Bogotá, D.C. en la página web de la Secretaria General de la Alcaldía Mayor de Bogotá, D.C., en siguiente link:   http://archivobogota.secretariageneral.gov.co/sites/default/files/documentos-cda/Acta-segunda-CDA-2020.pdf</v>
      </c>
      <c r="BA33" t="str">
        <f>+IFERROR(IF(ISBLANK(VLOOKUP(CONCATENATE($F33,"_",BA$4),Subtecnica_2,MATCH(BA$3,'Sub. Técnica'!$F$26:$O$26,0),0)),"",VLOOKUP(CONCATENATE($F33,"_",BA$4),Subtecnica_2,MATCH(BA$3,'Sub. Técnica'!$F$26:$O$26,0),0)),"")</f>
        <v>No Aplica</v>
      </c>
      <c r="BB33" t="str">
        <f>+IFERROR(IF(ISBLANK(VLOOKUP(CONCATENATE($F33,"_",BB$4),Subtecnica_2,MATCH(BB$3,'Sub. Técnica'!$F$26:$O$26,0),0)),"",VLOOKUP(CONCATENATE($F33,"_",BB$4),Subtecnica_2,MATCH(BB$3,'Sub. Técnica'!$F$26:$O$26,0),0)),"")</f>
        <v>La ciudadanía puede acceder a la publicación del Acta del Consejo Distrital de Archivos de Bogotá D.C. de acuerdo con la obligación contenida en el artículo 5 del Decreto Distrital 329 de 2019, dando así cumplimiento al acceso a la información por medio de la publicación de la misma, mediante el link: http://archivobogota.secretariageneral.gov.co/sites/default/files/documentos-cda/Acta-segunda-CDA-2020.pdf</v>
      </c>
      <c r="BC33">
        <f t="shared" si="10"/>
        <v>3</v>
      </c>
      <c r="BD33">
        <f t="shared" si="10"/>
        <v>3</v>
      </c>
      <c r="BE33" s="129" t="str">
        <f>+IFERROR(IF(ISBLANK(VLOOKUP(CONCATENATE($F33,"_",BE$4),P1126_4,MATCH(BE$3,PAAC!$E$19:$M$19,0),0)),"",VLOOKUP(CONCATENATE($F33,"_",BE$4),P1126_4,MATCH(BE$3,PAAC!$E$19:$M$19,0),0)),"")</f>
        <v/>
      </c>
      <c r="BF33" s="129" t="str">
        <f>+IFERROR(IF(ISBLANK(VLOOKUP(CONCATENATE($F33,"_",BF$4),P1126_4,MATCH(BF$3,PAAC!$E$19:$M$19,0),0)),"",VLOOKUP(CONCATENATE($F33,"_",BF$4),P1126_4,MATCH(BF$3,PAAC!$E$19:$M$19,0),0)),"")</f>
        <v/>
      </c>
      <c r="BG33" s="129" t="str">
        <f>+IFERROR(IF(ISBLANK(VLOOKUP(CONCATENATE($F33,"_",BG$4),P1126_4,MATCH(BG$3,PAAC!$E$19:$M$19,0),0)),"",VLOOKUP(CONCATENATE($F33,"_",BG$4),P1126_4,MATCH(BG$3,PAAC!$E$19:$M$19,0),0)),"")</f>
        <v/>
      </c>
      <c r="BH33" s="129" t="str">
        <f>+IFERROR(IF(ISBLANK(VLOOKUP(CONCATENATE($F33,"_",BH$4),P1126_4,MATCH(BH$3,PAAC!$E$19:$M$19,0),0)),"",VLOOKUP(CONCATENATE($F33,"_",BH$4),P1126_4,MATCH(BH$3,PAAC!$E$19:$M$19,0),0)),"")</f>
        <v/>
      </c>
      <c r="BI33" s="129" t="str">
        <f>+IFERROR(IF(ISBLANK(VLOOKUP(CONCATENATE($F33,"_",BI$4),P1126_4,MATCH(BI$3,PAAC!$E$19:$M$19,0),0)),"",VLOOKUP(CONCATENATE($F33,"_",BI$4),P1126_4,MATCH(BI$3,PAAC!$E$19:$M$19,0),0)),"")</f>
        <v/>
      </c>
      <c r="BJ33" s="129" t="str">
        <f>+IFERROR(IF(ISBLANK(VLOOKUP(CONCATENATE($F33,"_",BJ$4),P1126_4,MATCH(BJ$3,PAAC!$E$19:$M$19,0),0)),"",VLOOKUP(CONCATENATE($F33,"_",BJ$4),P1126_4,MATCH(BJ$3,PAAC!$E$19:$M$19,0),0)),"")</f>
        <v/>
      </c>
      <c r="BK33" s="129" t="str">
        <f>+IFERROR(IF(ISBLANK(VLOOKUP(CONCATENATE($F33,"_",BK$4),P1126_4,MATCH(BK$3,PAAC!$E$19:$M$19,0),0)),"",VLOOKUP(CONCATENATE($F33,"_",BK$4),P1126_4,MATCH(BK$3,PAAC!$E$19:$M$19,0),0)),"")</f>
        <v/>
      </c>
      <c r="BL33" s="129" t="str">
        <f>+IFERROR(IF(ISBLANK(VLOOKUP(CONCATENATE($F33,"_",BL$4),P1126_4,MATCH(BL$3,PAAC!$E$19:$M$19,0),0)),"",VLOOKUP(CONCATENATE($F33,"_",BL$4),P1126_4,MATCH(BL$3,PAAC!$E$19:$M$19,0),0)),"")</f>
        <v/>
      </c>
      <c r="BM33" s="129" t="str">
        <f>+IFERROR(IF(ISBLANK(VLOOKUP(CONCATENATE($F33,"_",BM$4),P1126_4,MATCH(BM$3,PAAC!$E$19:$M$19,0),0)),"",VLOOKUP(CONCATENATE($F33,"_",BM$4),P1126_4,MATCH(BM$3,PAAC!$E$19:$M$19,0),0)),"")</f>
        <v/>
      </c>
      <c r="BN33" s="129" t="str">
        <f>+IFERROR(IF(ISBLANK(VLOOKUP(CONCATENATE($F33,"_",BN$4),P1126_4,MATCH(BN$3,PAAC!$E$19:$M$19,0),0)),"",VLOOKUP(CONCATENATE($F33,"_",BN$4),P1126_4,MATCH(BN$3,PAAC!$E$19:$M$19,0),0)),"")</f>
        <v/>
      </c>
      <c r="BO33" s="129" t="str">
        <f>+IFERROR(IF(ISBLANK(VLOOKUP(CONCATENATE($F33,"_",BO$4),P1126_4,MATCH(BO$3,PAAC!$E$19:$M$19,0),0)),"",VLOOKUP(CONCATENATE($F33,"_",BO$4),P1126_4,MATCH(BO$3,PAAC!$E$19:$M$19,0),0)),"")</f>
        <v/>
      </c>
      <c r="BP33" s="129" t="str">
        <f>+IFERROR(IF(ISBLANK(VLOOKUP(CONCATENATE($F33,"_",BP$4),P1126_4,MATCH(BP$3,PAAC!$E$19:$M$19,0),0)),"",VLOOKUP(CONCATENATE($F33,"_",BP$4),P1126_4,MATCH(BP$3,PAAC!$E$19:$M$19,0),0)),"")</f>
        <v/>
      </c>
      <c r="BQ33" s="129" t="str">
        <f>+IFERROR(IF(ISBLANK(VLOOKUP(CONCATENATE($F33,"_",BQ$4),P1126_4,MATCH(BQ$3,PAAC!$E$19:$M$19,0),0)),"",VLOOKUP(CONCATENATE($F33,"_",BQ$4),P1126_4,MATCH(BQ$3,PAAC!$E$19:$M$19,0),0)),"")</f>
        <v/>
      </c>
      <c r="BR33" s="129" t="str">
        <f>+IFERROR(IF(ISBLANK(VLOOKUP(CONCATENATE($F33,"_",BR$4),P1126_4,MATCH(BR$3,PAAC!$E$19:$M$19,0),0)),"",VLOOKUP(CONCATENATE($F33,"_",BR$4),P1126_4,MATCH(BR$3,PAAC!$E$19:$M$19,0),0)),"")</f>
        <v/>
      </c>
      <c r="BS33" s="129" t="str">
        <f>+IFERROR(IF(ISBLANK(VLOOKUP(CONCATENATE($F33,"_",BS$4),P1126_4,MATCH(BS$3,PAAC!$E$19:$M$19,0),0)),"",VLOOKUP(CONCATENATE($F33,"_",BS$4),P1126_4,MATCH(BS$3,PAAC!$E$19:$M$19,0),0)),"")</f>
        <v/>
      </c>
      <c r="BT33" s="129" t="str">
        <f>+IFERROR(IF(ISBLANK(VLOOKUP(CONCATENATE($F33,"_",BT$4),P1126_4,MATCH(BT$3,PAAC!$E$19:$M$19,0),0)),"",VLOOKUP(CONCATENATE($F33,"_",BT$4),P1126_4,MATCH(BT$3,PAAC!$E$19:$M$19,0),0)),"")</f>
        <v/>
      </c>
      <c r="BU33" s="129" t="str">
        <f>+IFERROR(IF(ISBLANK(VLOOKUP(CONCATENATE($F33,"_",BU$4),P1126_4,MATCH(BU$3,PAAC!$E$19:$M$19,0),0)),"",VLOOKUP(CONCATENATE($F33,"_",BU$4),P1126_4,MATCH(BU$3,PAAC!$E$19:$M$19,0),0)),"")</f>
        <v/>
      </c>
      <c r="BV33" s="129" t="str">
        <f>+IFERROR(IF(ISBLANK(VLOOKUP(CONCATENATE($F33,"_",BV$4),P1126_4,MATCH(BV$3,PAAC!$E$19:$M$19,0),0)),"",VLOOKUP(CONCATENATE($F33,"_",BV$4),P1126_4,MATCH(BV$3,PAAC!$E$19:$M$19,0),0)),"")</f>
        <v/>
      </c>
      <c r="BW33" s="129" t="str">
        <f>+IFERROR(IF(ISBLANK(VLOOKUP(CONCATENATE($F33,"_",BW$4),P1126_4,MATCH(BW$3,PAAC!$E$19:$M$19,0),0)),"",VLOOKUP(CONCATENATE($F33,"_",BW$4),P1126_4,MATCH(BW$3,PAAC!$E$19:$M$19,0),0)),"")</f>
        <v/>
      </c>
      <c r="BX33" s="129" t="str">
        <f>+IFERROR(IF(ISBLANK(VLOOKUP(CONCATENATE($F33,"_",BX$4),P1126_4,MATCH(BX$3,PAAC!$E$19:$M$19,0),0)),"",VLOOKUP(CONCATENATE($F33,"_",BX$4),P1126_4,MATCH(BX$3,PAAC!$E$19:$M$19,0),0)),"")</f>
        <v/>
      </c>
      <c r="BY33" s="129" t="str">
        <f>+IFERROR(IF(ISBLANK(VLOOKUP(CONCATENATE($F33,"_",BY$4),P1126_4,MATCH(BY$3,PAAC!$E$19:$M$19,0),0)),"",VLOOKUP(CONCATENATE($F33,"_",BY$4),P1126_4,MATCH(BY$3,PAAC!$E$19:$M$19,0),0)),"")</f>
        <v/>
      </c>
      <c r="BZ33" s="129" t="str">
        <f>+IFERROR(IF(ISBLANK(VLOOKUP(CONCATENATE($F33,"_",BZ$4),P1126_4,MATCH(BZ$3,PAAC!$E$19:$M$19,0),0)),"",VLOOKUP(CONCATENATE($F33,"_",BZ$4),P1126_4,MATCH(BZ$3,PAAC!$E$19:$M$19,0),0)),"")</f>
        <v/>
      </c>
      <c r="CA33" s="129" t="str">
        <f>+IFERROR(IF(ISBLANK(VLOOKUP(CONCATENATE($F33,"_",CA$4),P1126_4,MATCH(CA$3,PAAC!$E$19:$M$19,0),0)),"",VLOOKUP(CONCATENATE($F33,"_",CA$4),P1126_4,MATCH(CA$3,PAAC!$E$19:$M$19,0),0)),"")</f>
        <v/>
      </c>
      <c r="CB33" s="129" t="str">
        <f>+IFERROR(IF(ISBLANK(VLOOKUP(CONCATENATE($F33,"_",CB$4),P1126_4,MATCH(CB$3,PAAC!$E$19:$M$19,0),0)),"",VLOOKUP(CONCATENATE($F33,"_",CB$4),P1126_4,MATCH(CB$3,PAAC!$E$19:$M$19,0),0)),"")</f>
        <v/>
      </c>
      <c r="CC33" s="129" t="str">
        <f>+IFERROR(IF(ISBLANK(VLOOKUP(CONCATENATE($F33,"_",CC$4),P1126_4,MATCH(CC$3,PAAC!$E$19:$M$19,0),0)),"",VLOOKUP(CONCATENATE($F33,"_",CC$4),P1126_4,MATCH(CC$3,PAAC!$E$19:$M$19,0),0)),"")</f>
        <v/>
      </c>
      <c r="CD33" s="129" t="str">
        <f t="shared" si="11"/>
        <v/>
      </c>
      <c r="CE33" s="129" t="str">
        <f t="shared" si="3"/>
        <v/>
      </c>
      <c r="CF33" s="129" t="str">
        <f t="shared" si="4"/>
        <v/>
      </c>
      <c r="CG33" s="129" t="str">
        <f t="shared" si="5"/>
        <v/>
      </c>
      <c r="CH33" s="129" t="str">
        <f t="shared" si="6"/>
        <v/>
      </c>
      <c r="CI33" t="str">
        <f t="shared" ref="CI33:CR45" si="31">+VLOOKUP($F33,Subtecnica_R,CI$4,0)</f>
        <v>Cumple</v>
      </c>
      <c r="CJ33" t="str">
        <f t="shared" si="31"/>
        <v>Cumplido</v>
      </c>
      <c r="CK33" t="str">
        <f t="shared" si="31"/>
        <v>Adecuado</v>
      </c>
      <c r="CL33" t="str">
        <f t="shared" si="31"/>
        <v>Coherente</v>
      </c>
      <c r="CM33" t="str">
        <f t="shared" si="31"/>
        <v>Concuerda</v>
      </c>
      <c r="CN33" t="str">
        <f t="shared" si="31"/>
        <v>No aplica</v>
      </c>
      <c r="CO33" t="str">
        <f t="shared" si="31"/>
        <v>Relación directa</v>
      </c>
      <c r="CP33" t="str">
        <f t="shared" si="31"/>
        <v>Adecuado</v>
      </c>
      <c r="CQ33" t="str">
        <f t="shared" si="31"/>
        <v>Oportuna</v>
      </c>
      <c r="CR33" t="str">
        <f t="shared" si="31"/>
        <v>No aplica</v>
      </c>
      <c r="CS33" t="str">
        <f t="shared" ref="CS33:DB45" si="32">+VLOOKUP($F33,Subtecnica_R,CS$4,0)</f>
        <v>Bibiana Rodríguez González</v>
      </c>
      <c r="CT33" t="str">
        <f t="shared" si="32"/>
        <v>No aplica</v>
      </c>
      <c r="CU33" t="str">
        <f t="shared" si="32"/>
        <v>Cumplido</v>
      </c>
      <c r="CV33" t="str">
        <f t="shared" si="32"/>
        <v>Adecuado</v>
      </c>
      <c r="CW33" t="str">
        <f t="shared" si="32"/>
        <v>Coherente</v>
      </c>
      <c r="CX33" t="str">
        <f t="shared" si="32"/>
        <v>Concuerda</v>
      </c>
      <c r="CY33" t="str">
        <f t="shared" si="32"/>
        <v>No aplica</v>
      </c>
      <c r="CZ33" t="str">
        <f t="shared" si="32"/>
        <v>Relación directa</v>
      </c>
      <c r="DA33" t="str">
        <f t="shared" si="32"/>
        <v>Adecuado</v>
      </c>
      <c r="DB33" t="str">
        <f t="shared" si="32"/>
        <v>Oportuna</v>
      </c>
      <c r="DC33" t="str">
        <f t="shared" ref="DC33:DL45" si="33">+VLOOKUP($F33,Subtecnica_R,DC$4,0)</f>
        <v>No aplica</v>
      </c>
      <c r="DD33" t="str">
        <f t="shared" si="33"/>
        <v>Bibiana Rodríguez González</v>
      </c>
      <c r="DE33" t="e">
        <f t="shared" si="33"/>
        <v>#REF!</v>
      </c>
      <c r="DF33" t="e">
        <f t="shared" si="33"/>
        <v>#REF!</v>
      </c>
      <c r="DG33" t="e">
        <f t="shared" si="33"/>
        <v>#REF!</v>
      </c>
      <c r="DH33" t="e">
        <f t="shared" si="33"/>
        <v>#REF!</v>
      </c>
      <c r="DI33" t="e">
        <f t="shared" si="33"/>
        <v>#REF!</v>
      </c>
      <c r="DJ33" t="e">
        <f t="shared" si="33"/>
        <v>#REF!</v>
      </c>
      <c r="DK33" t="e">
        <f t="shared" si="33"/>
        <v>#REF!</v>
      </c>
      <c r="DL33" t="e">
        <f t="shared" si="33"/>
        <v>#REF!</v>
      </c>
      <c r="DM33" t="e">
        <f t="shared" ref="DM33:DX45" si="34">+VLOOKUP($F33,Subtecnica_R,DM$4,0)</f>
        <v>#REF!</v>
      </c>
      <c r="DN33" t="e">
        <f t="shared" si="34"/>
        <v>#REF!</v>
      </c>
      <c r="DO33" t="e">
        <f t="shared" si="34"/>
        <v>#REF!</v>
      </c>
      <c r="DP33" t="e">
        <f t="shared" si="34"/>
        <v>#REF!</v>
      </c>
      <c r="DQ33" t="e">
        <f t="shared" si="34"/>
        <v>#REF!</v>
      </c>
      <c r="DR33" t="e">
        <f t="shared" si="34"/>
        <v>#REF!</v>
      </c>
      <c r="DS33" t="e">
        <f t="shared" si="34"/>
        <v>#REF!</v>
      </c>
      <c r="DT33" t="e">
        <f t="shared" si="34"/>
        <v>#REF!</v>
      </c>
      <c r="DU33" t="e">
        <f t="shared" si="34"/>
        <v>#REF!</v>
      </c>
      <c r="DV33" t="e">
        <f t="shared" si="34"/>
        <v>#REF!</v>
      </c>
      <c r="DW33" t="e">
        <f t="shared" si="34"/>
        <v>#REF!</v>
      </c>
      <c r="DX33" t="e">
        <f t="shared" si="34"/>
        <v>#REF!</v>
      </c>
    </row>
    <row r="34" spans="1:128" x14ac:dyDescent="0.3">
      <c r="A34" s="423">
        <f t="shared" si="16"/>
        <v>21</v>
      </c>
      <c r="B34" t="str">
        <f t="shared" si="17"/>
        <v>1_Subdirección Técnica de Archivo</v>
      </c>
      <c r="C34">
        <f t="shared" si="8"/>
        <v>1</v>
      </c>
      <c r="D34" t="str">
        <f t="shared" si="0"/>
        <v>Subdirección Técnica de Archivo</v>
      </c>
      <c r="E34" t="str">
        <f t="shared" si="1"/>
        <v>sta</v>
      </c>
      <c r="F34" s="208">
        <f>'Sub. Técnica'!D11</f>
        <v>21</v>
      </c>
      <c r="G34" t="str">
        <f t="shared" si="30"/>
        <v>Constante</v>
      </c>
      <c r="H34" t="str">
        <f t="shared" si="30"/>
        <v>Porcentaje</v>
      </c>
      <c r="I34">
        <f t="shared" si="30"/>
        <v>0.98</v>
      </c>
      <c r="J34">
        <f t="shared" si="30"/>
        <v>0.98</v>
      </c>
      <c r="K34" t="str">
        <f>+IFERROR(VLOOKUP($F34,Subtecnica_1,MATCH(K$5,'Sub. Técnica'!$D$9:$V$9,0),0),"")</f>
        <v>Constante</v>
      </c>
      <c r="L34" t="str">
        <f>+IFERROR(VLOOKUP($F34,Subtecnica_1,MATCH(L$5,'Sub. Técnica'!$D$9:$V$9,0),0),"")</f>
        <v/>
      </c>
      <c r="M34">
        <f t="shared" ref="M34:M46" si="35">+IFERROR(SUM(N34:P34),"")</f>
        <v>294</v>
      </c>
      <c r="N34">
        <f>+IFERROR(VLOOKUP($F34,Subtecnica_1,MATCH(N$5,'Sub. Técnica'!$D$9:$V$9,0),0),"")</f>
        <v>98</v>
      </c>
      <c r="O34">
        <f>+IFERROR(VLOOKUP($F34,Subtecnica_1,MATCH(O$5,'Sub. Técnica'!$D$9:$V$9,0),0),"")</f>
        <v>98</v>
      </c>
      <c r="P34">
        <f>+IFERROR(VLOOKUP($F34,Subtecnica_1,MATCH(P$5,'Sub. Técnica'!$D$9:$V$9,0),0),"")</f>
        <v>98</v>
      </c>
      <c r="Q34">
        <f>+IFERROR(VLOOKUP($F34,Subtecnica_1,MATCH(Q$5,'Sub. Técnica'!$D$9:$V$9,0),0),"")</f>
        <v>98</v>
      </c>
      <c r="R34">
        <f>+IFERROR(VLOOKUP($F34,Subtecnica_1,MATCH(R$5,'Sub. Técnica'!$D$9:$V$9,0),0),"")</f>
        <v>98</v>
      </c>
      <c r="S34">
        <f>+IFERROR(VLOOKUP($F34,Subtecnica_1,MATCH(S$5,'Sub. Técnica'!$D$9:$V$9,0),0),"")</f>
        <v>98</v>
      </c>
      <c r="T34">
        <f>+IFERROR(VLOOKUP($F34,Subtecnica_1,MATCH(T$5,'Sub. Técnica'!$D$9:$V$9,0),0),"")</f>
        <v>98</v>
      </c>
      <c r="U34" t="str">
        <f>+IFERROR(VLOOKUP($F34,Subtecnica_1,MATCH(U$5,'Sub. Técnica'!$D$9:$V$9,0),0),"")</f>
        <v>Mejorar el índice de satisfacción de la ciudadanía frente a los servicios prestados por el Archivo de Bogotá</v>
      </c>
      <c r="V34" t="str">
        <f>+IFERROR(VLOOKUP($F34,Subtecnica_1,MATCH(V$5,'Sub. Técnica'!$D$9:$V$9,0),0),"")</f>
        <v>Aplicar la herramienta para medir el grado de satisfacción de la ciudadanía.</v>
      </c>
      <c r="W34" t="str">
        <f>+IFERROR(VLOOKUP($F34,Subtecnica_1,MATCH(W$5,'Sub. Técnica'!$D$9:$V$9,0),0),"")</f>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
      <c r="X34" t="str">
        <f>+IFERROR(VLOOKUP($F34,Subtecnica_1,MATCH(X$5,'Sub. Técnica'!$D$9:$V$9,0),0),"")</f>
        <v>Informe mensual de resultados de la medición de la encuesta de satisfacción a la ciudadania.</v>
      </c>
      <c r="Y34">
        <f>+IFERROR(IF(ISBLANK(VLOOKUP(CONCATENATE($F34,"_",Y$4),Subtecnica_2,MATCH(Y$3,'Sub. Técnica'!$F$26:$O$26,0),0)),"",VLOOKUP(CONCATENATE($F34,"_",Y$4),Subtecnica_2,MATCH(Y$3,'Sub. Técnica'!$F$26:$O$26,0),0)),"")</f>
        <v>98</v>
      </c>
      <c r="Z34">
        <f>+IFERROR(IF(ISBLANK(VLOOKUP(CONCATENATE($F34,"_",Z$4),Subtecnica_2,MATCH(Z$3,'Sub. Técnica'!$F$26:$O$26,0),0)),"",VLOOKUP(CONCATENATE($F34,"_",Z$4),Subtecnica_2,MATCH(Z$3,'Sub. Técnica'!$F$26:$O$26,0),0)),"")</f>
        <v>100</v>
      </c>
      <c r="AA34" t="str">
        <f>+IFERROR(IF(ISBLANK(VLOOKUP(CONCATENATE($F34,"_",AA$4),Subtecnica_2,MATCH(AA$3,'Sub. Técnica'!$F$26:$O$26,0),0)),"",VLOOKUP(CONCATENATE($F34,"_",AA$4),Subtecnica_2,MATCH(AA$3,'Sub. Técnica'!$F$26:$O$26,0),0)),"")</f>
        <v xml:space="preserve">Producto: 
 En el mes de enero se atendió en Sala de Investigadores a 269 usuarios y se aplicaron encuestas de satisfacción a 63 personas atendidas, las cuales arrojaron que el grado de satisfacción de atención a los ciudadanos para el mes de enero fue del 98%.  
 Gestión:
Se radicó memorando 3-2020-2901 a la Oficina de Tecnologías de la información y las comunicaciones OTIC que contiene las necesidades en materia de elementos informáticos  por parte de la Dirección Distrital de Archivo de Bogotá a fin de facilitar las herramientas para prestar un mejor servicio en la sala de investigadores.  </v>
      </c>
      <c r="AB34" t="str">
        <f>+IFERROR(IF(ISBLANK(VLOOKUP(CONCATENATE($F34,"_",AB$4),Subtecnica_2,MATCH(AB$3,'Sub. Técnica'!$F$26:$O$26,0),0)),"",VLOOKUP(CONCATENATE($F34,"_",AB$4),Subtecnica_2,MATCH(AB$3,'Sub. Técnica'!$F$26:$O$26,0),0)),"")</f>
        <v xml:space="preserve">Aunque se alcanzó el grado de satisfacción del 98% los usuarios manifestaron que los equipos de cómputo con los que cuenta la sala de investigadores son lentos y con frecuencia dejan de presentar la información consultada. Por lo anterior se procedió a enviar memorando 3-2020-2901 a la Oficina de Tecnologías de la información y las comunicaciones OTIC el cual contiene las necesidades en materia de elementos informáticos  por parte de la Dirección Distrital de Archivo de Bogotá a fin de facilitar las herramientas para prestar un mejor servicio en la sala de investigadores.   </v>
      </c>
      <c r="AC34" t="str">
        <f>+IFERROR(IF(ISBLANK(VLOOKUP(CONCATENATE($F34,"_",AC$4),Subtecnica_2,MATCH(AC$3,'Sub. Técnica'!$F$26:$O$26,0),0)),"",VLOOKUP(CONCATENATE($F34,"_",AC$4),Subtecnica_2,MATCH(AC$3,'Sub. Técnica'!$F$26:$O$26,0),0)),"")</f>
        <v xml:space="preserve">Durante el mes de enero de 2020 se observó el aumento de consultas de las series: libros de parroquias, Colección Arquidiócesis de Bogotá, así como, de la serie Historias Clínicas de los Hospitales San Juan de Dios y Materno Infantil (Liquidados). </v>
      </c>
      <c r="AD34">
        <f>+IFERROR(IF(ISBLANK(VLOOKUP(CONCATENATE($F34,"_",AD$4),Subtecnica_2,MATCH(AD$3,'Sub. Técnica'!$F$26:$O$26,0),0)),"",VLOOKUP(CONCATENATE($F34,"_",AD$4),Subtecnica_2,MATCH(AD$3,'Sub. Técnica'!$F$26:$O$26,0),0)),"")</f>
        <v>95</v>
      </c>
      <c r="AE34">
        <f>+IFERROR(IF(ISBLANK(VLOOKUP(CONCATENATE($F34,"_",AE$4),Subtecnica_2,MATCH(AE$3,'Sub. Técnica'!$F$26:$O$26,0),0)),"",VLOOKUP(CONCATENATE($F34,"_",AE$4),Subtecnica_2,MATCH(AE$3,'Sub. Técnica'!$F$26:$O$26,0),0)),"")</f>
        <v>100</v>
      </c>
      <c r="AF34" t="str">
        <f>+IFERROR(IF(ISBLANK(VLOOKUP(CONCATENATE($F34,"_",AF$4),Subtecnica_2,MATCH(AF$3,'Sub. Técnica'!$F$26:$O$26,0),0)),"",VLOOKUP(CONCATENATE($F34,"_",AF$4),Subtecnica_2,MATCH(AF$3,'Sub. Técnica'!$F$26:$O$26,0),0)),"")</f>
        <v xml:space="preserve"> En el mes de febrero se atendió en Sala de Investigadores a 386 usuarios y se aplicaron 55  encuestas de satisfacción a personas atendidas, las cuales permitieron evidenciar que el grado de satisfacción de atención a los ciudadanos para el mes de febrero fue del 95%. </v>
      </c>
      <c r="AG34" t="str">
        <f>+IFERROR(IF(ISBLANK(VLOOKUP(CONCATENATE($F34,"_",AG$4),Subtecnica_2,MATCH(AG$3,'Sub. Técnica'!$F$26:$O$26,0),0)),"",VLOOKUP(CONCATENATE($F34,"_",AG$4),Subtecnica_2,MATCH(AG$3,'Sub. Técnica'!$F$26:$O$26,0),0)),"")</f>
        <v xml:space="preserve"> El grado de satisfacción bajó tres puntos respecto al mes de enero que estaba en el 98% pasando a 95% para el mes de febrero, situación presentada debido a la necesidad de  mejorar el desempeño de los equipos de cómputo teniendo en cuenta que son lentos y con frecuencia dejan de presentar la información consultada, para ello a finales del mes de enero se envió el memorando de necesidades de elementos informáticos por parte de la Dirección Distrital de Archivo de Bogotá.</v>
      </c>
      <c r="AH34" t="str">
        <f>+IFERROR(IF(ISBLANK(VLOOKUP(CONCATENATE($F34,"_",AH$4),Subtecnica_2,MATCH(AH$3,'Sub. Técnica'!$F$26:$O$26,0),0)),"",VLOOKUP(CONCATENATE($F34,"_",AH$4),Subtecnica_2,MATCH(AH$3,'Sub. Técnica'!$F$26:$O$26,0),0)),"")</f>
        <v xml:space="preserve">Durante el mes de febrero de 2020 se incrementó en 100 unidades el número de usuarios atendidos en la sala de investigación, respecto al mes de enero de 2020, lo cual indica que la ciudadanía cada vez más requiere de nuestros servicios y así mismo amplian su conocimiento frente a la ciudad de Bogotá.  </v>
      </c>
      <c r="AI34">
        <f>+IFERROR(IF(ISBLANK(VLOOKUP(CONCATENATE($F34,"_",AI$4),Subtecnica_2,MATCH(AI$3,'Sub. Técnica'!$F$26:$O$26,0),0)),"",VLOOKUP(CONCATENATE($F34,"_",AI$4),Subtecnica_2,MATCH(AI$3,'Sub. Técnica'!$F$26:$O$26,0),0)),"")</f>
        <v>97</v>
      </c>
      <c r="AJ34">
        <f>+IFERROR(IF(ISBLANK(VLOOKUP(CONCATENATE($F34,"_",AJ$4),Subtecnica_2,MATCH(AJ$3,'Sub. Técnica'!$F$26:$O$26,0),0)),"",VLOOKUP(CONCATENATE($F34,"_",AJ$4),Subtecnica_2,MATCH(AJ$3,'Sub. Técnica'!$F$26:$O$26,0),0)),"")</f>
        <v>100</v>
      </c>
      <c r="AK34" t="str">
        <f>+IFERROR(IF(ISBLANK(VLOOKUP(CONCATENATE($F34,"_",AK$4),Subtecnica_2,MATCH(AK$3,'Sub. Técnica'!$F$26:$O$26,0),0)),"",VLOOKUP(CONCATENATE($F34,"_",AK$4),Subtecnica_2,MATCH(AK$3,'Sub. Técnica'!$F$26:$O$26,0),0)),"")</f>
        <v xml:space="preserve"> En el mes de marzo se atendió en Sala de Investigadores a 203 personas y se aplicaron encuestas de satisfacción a 34 personas atendidas. Lo que permitió evidenciar que el grado de satisfacción de atención a los ciudadanos para el mes de Marzo fue del 97%. </v>
      </c>
      <c r="AL34" t="str">
        <f>+IFERROR(IF(ISBLANK(VLOOKUP(CONCATENATE($F34,"_",AL$4),Subtecnica_2,MATCH(AL$3,'Sub. Técnica'!$F$26:$O$26,0),0)),"",VLOOKUP(CONCATENATE($F34,"_",AL$4),Subtecnica_2,MATCH(AL$3,'Sub. Técnica'!$F$26:$O$26,0),0)),"")</f>
        <v>Mediante memorando 3-2020-9969 se informó a la Oficina Asesora de Planeación que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2020”,la atención al público en la sala de investigadores fue suspendida desde el día 20 de Marzo, por lo cual la información reportada corresponde al periodo entre el 1 y el   19 de marzo, toda vez que luego de esta fecha  la Sala de investigadores tuvo que cerrar la atención a la ciudadanía. Lo anterior afectará el resultado del indicador grado de satisfacción de la ciudadanía frente a los servicios prestados por el Archivo Distrital para los meses de marzo, abril, mayo y junio.</v>
      </c>
      <c r="AM34" t="str">
        <f>+IFERROR(IF(ISBLANK(VLOOKUP(CONCATENATE($F34,"_",AM$4),Subtecnica_2,MATCH(AM$3,'Sub. Técnica'!$F$26:$O$26,0),0)),"",VLOOKUP(CONCATENATE($F34,"_",AM$4),Subtecnica_2,MATCH(AM$3,'Sub. Técnica'!$F$26:$O$26,0),0)),"")</f>
        <v xml:space="preserve">Durante el marzo 2020, pese la presente contingencia se incrementó en 2 puntos del grado de satisfacción  de usuarios atendidos en la sala de investigación,lo cual indica que la ciudadanía cada vez está más conforme con los servicios de conocimiento y amabilidad que presenta el Archivo de Bogotá.  </v>
      </c>
      <c r="AN34">
        <f>+IFERROR(IF(ISBLANK(VLOOKUP(CONCATENATE($F34,"_",AN$4),Subtecnica_2,MATCH(AN$3,'Sub. Técnica'!$F$26:$O$26,0),0)),"",VLOOKUP(CONCATENATE($F34,"_",AN$4),Subtecnica_2,MATCH(AN$3,'Sub. Técnica'!$F$26:$O$26,0),0)),"")</f>
        <v>0</v>
      </c>
      <c r="AO34">
        <f>+IFERROR(IF(ISBLANK(VLOOKUP(CONCATENATE($F34,"_",AO$4),Subtecnica_2,MATCH(AO$3,'Sub. Técnica'!$F$26:$O$26,0),0)),"",VLOOKUP(CONCATENATE($F34,"_",AO$4),Subtecnica_2,MATCH(AO$3,'Sub. Técnica'!$F$26:$O$26,0),0)),"")</f>
        <v>100</v>
      </c>
      <c r="AP34" t="str">
        <f>+IFERROR(IF(ISBLANK(VLOOKUP(CONCATENATE($F34,"_",AP$4),Subtecnica_2,MATCH(AP$3,'Sub. Técnica'!$F$26:$O$26,0),0)),"",VLOOKUP(CONCATENATE($F34,"_",AP$4),Subtecnica_2,MATCH(AP$3,'Sub. Técnica'!$F$26:$O$26,0),0)),"")</f>
        <v>La Sala de investigadores se encuentra fuera de servicio,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v>
      </c>
      <c r="AQ34" t="str">
        <f>+IFERROR(IF(ISBLANK(VLOOKUP(CONCATENATE($F34,"_",AQ$4),Subtecnica_2,MATCH(AQ$3,'Sub. Técnica'!$F$26:$O$26,0),0)),"",VLOOKUP(CONCATENATE($F34,"_",AQ$4),Subtecnica_2,MATCH(AQ$3,'Sub. Técnica'!$F$26:$O$26,0),0)),"")</f>
        <v>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v>
      </c>
      <c r="AR34" t="str">
        <f>+IFERROR(IF(ISBLANK(VLOOKUP(CONCATENATE($F34,"_",AR$4),Subtecnica_2,MATCH(AR$3,'Sub. Técnica'!$F$26:$O$26,0),0)),"",VLOOKUP(CONCATENATE($F34,"_",AR$4),Subtecnica_2,MATCH(AR$3,'Sub. Técnica'!$F$26:$O$26,0),0)),"")</f>
        <v>No Aplica</v>
      </c>
      <c r="AS34">
        <f>+IFERROR(IF(ISBLANK(VLOOKUP(CONCATENATE($F34,"_",AS$4),Subtecnica_2,MATCH(AS$3,'Sub. Técnica'!$F$26:$O$26,0),0)),"",VLOOKUP(CONCATENATE($F34,"_",AS$4),Subtecnica_2,MATCH(AS$3,'Sub. Técnica'!$F$26:$O$26,0),0)),"")</f>
        <v>0</v>
      </c>
      <c r="AT34">
        <f>+IFERROR(IF(ISBLANK(VLOOKUP(CONCATENATE($F34,"_",AT$4),Subtecnica_2,MATCH(AT$3,'Sub. Técnica'!$F$26:$O$26,0),0)),"",VLOOKUP(CONCATENATE($F34,"_",AT$4),Subtecnica_2,MATCH(AT$3,'Sub. Técnica'!$F$26:$O$26,0),0)),"")</f>
        <v>100</v>
      </c>
      <c r="AU34" t="str">
        <f>+IFERROR(IF(ISBLANK(VLOOKUP(CONCATENATE($F34,"_",AU$4),Subtecnica_2,MATCH(AU$3,'Sub. Técnica'!$F$26:$O$26,0),0)),"",VLOOKUP(CONCATENATE($F34,"_",AU$4),Subtecnica_2,MATCH(AU$3,'Sub. Técnica'!$F$26:$O$26,0),0)),"")</f>
        <v>La Sala de investigadores se encuentra fuera de servicio,teniendo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v>
      </c>
      <c r="AV34" t="str">
        <f>+IFERROR(IF(ISBLANK(VLOOKUP(CONCATENATE($F34,"_",AV$4),Subtecnica_2,MATCH(AV$3,'Sub. Técnica'!$F$26:$O$26,0),0)),"",VLOOKUP(CONCATENATE($F34,"_",AV$4),Subtecnica_2,MATCH(AV$3,'Sub. Técnica'!$F$26:$O$26,0),0)),"")</f>
        <v>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v>
      </c>
      <c r="AW34" t="str">
        <f>+IFERROR(IF(ISBLANK(VLOOKUP(CONCATENATE($F34,"_",AW$4),Subtecnica_2,MATCH(AW$3,'Sub. Técnica'!$F$26:$O$26,0),0)),"",VLOOKUP(CONCATENATE($F34,"_",AW$4),Subtecnica_2,MATCH(AW$3,'Sub. Técnica'!$F$26:$O$26,0),0)),"")</f>
        <v>No Aplica</v>
      </c>
      <c r="AX34">
        <f>+IFERROR(IF(ISBLANK(VLOOKUP(CONCATENATE($F34,"_",AX$4),Subtecnica_2,MATCH(AX$3,'Sub. Técnica'!$F$26:$O$26,0),0)),"",VLOOKUP(CONCATENATE($F34,"_",AX$4),Subtecnica_2,MATCH(AX$3,'Sub. Técnica'!$F$26:$O$26,0),0)),"")</f>
        <v>0</v>
      </c>
      <c r="AY34">
        <f>+IFERROR(IF(ISBLANK(VLOOKUP(CONCATENATE($F34,"_",AY$4),Subtecnica_2,MATCH(AY$3,'Sub. Técnica'!$F$26:$O$26,0),0)),"",VLOOKUP(CONCATENATE($F34,"_",AY$4),Subtecnica_2,MATCH(AY$3,'Sub. Técnica'!$F$26:$O$26,0),0)),"")</f>
        <v>100</v>
      </c>
      <c r="AZ34" t="str">
        <f>+IFERROR(IF(ISBLANK(VLOOKUP(CONCATENATE($F34,"_",AZ$4),Subtecnica_2,MATCH(AZ$3,'Sub. Técnica'!$F$26:$O$26,0),0)),"",VLOOKUP(CONCATENATE($F34,"_",AZ$4),Subtecnica_2,MATCH(AZ$3,'Sub. Técnica'!$F$26:$O$26,0),0)),"")</f>
        <v>La Sala de investigadores se encuentra fuera de servicio,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v>
      </c>
      <c r="BA34" t="str">
        <f>+IFERROR(IF(ISBLANK(VLOOKUP(CONCATENATE($F34,"_",BA$4),Subtecnica_2,MATCH(BA$3,'Sub. Técnica'!$F$26:$O$26,0),0)),"",VLOOKUP(CONCATENATE($F34,"_",BA$4),Subtecnica_2,MATCH(BA$3,'Sub. Técnica'!$F$26:$O$26,0),0)),"")</f>
        <v>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v>
      </c>
      <c r="BB34" t="str">
        <f>+IFERROR(IF(ISBLANK(VLOOKUP(CONCATENATE($F34,"_",BB$4),Subtecnica_2,MATCH(BB$3,'Sub. Técnica'!$F$26:$O$26,0),0)),"",VLOOKUP(CONCATENATE($F34,"_",BB$4),Subtecnica_2,MATCH(BB$3,'Sub. Técnica'!$F$26:$O$26,0),0)),"")</f>
        <v>No Aplica</v>
      </c>
      <c r="BC34">
        <f t="shared" si="10"/>
        <v>290</v>
      </c>
      <c r="BD34">
        <f t="shared" si="10"/>
        <v>600</v>
      </c>
      <c r="BE34" s="129" t="str">
        <f>+IFERROR(IF(ISBLANK(VLOOKUP(CONCATENATE($F34,"_",BE$4),P1126_4,MATCH(BE$3,PAAC!$E$19:$M$19,0),0)),"",VLOOKUP(CONCATENATE($F34,"_",BE$4),P1126_4,MATCH(BE$3,PAAC!$E$19:$M$19,0),0)),"")</f>
        <v/>
      </c>
      <c r="BF34" s="129" t="str">
        <f>+IFERROR(IF(ISBLANK(VLOOKUP(CONCATENATE($F34,"_",BF$4),P1126_4,MATCH(BF$3,PAAC!$E$19:$M$19,0),0)),"",VLOOKUP(CONCATENATE($F34,"_",BF$4),P1126_4,MATCH(BF$3,PAAC!$E$19:$M$19,0),0)),"")</f>
        <v/>
      </c>
      <c r="BG34" s="129" t="str">
        <f>+IFERROR(IF(ISBLANK(VLOOKUP(CONCATENATE($F34,"_",BG$4),P1126_4,MATCH(BG$3,PAAC!$E$19:$M$19,0),0)),"",VLOOKUP(CONCATENATE($F34,"_",BG$4),P1126_4,MATCH(BG$3,PAAC!$E$19:$M$19,0),0)),"")</f>
        <v/>
      </c>
      <c r="BH34" s="129" t="str">
        <f>+IFERROR(IF(ISBLANK(VLOOKUP(CONCATENATE($F34,"_",BH$4),P1126_4,MATCH(BH$3,PAAC!$E$19:$M$19,0),0)),"",VLOOKUP(CONCATENATE($F34,"_",BH$4),P1126_4,MATCH(BH$3,PAAC!$E$19:$M$19,0),0)),"")</f>
        <v/>
      </c>
      <c r="BI34" s="129" t="str">
        <f>+IFERROR(IF(ISBLANK(VLOOKUP(CONCATENATE($F34,"_",BI$4),P1126_4,MATCH(BI$3,PAAC!$E$19:$M$19,0),0)),"",VLOOKUP(CONCATENATE($F34,"_",BI$4),P1126_4,MATCH(BI$3,PAAC!$E$19:$M$19,0),0)),"")</f>
        <v/>
      </c>
      <c r="BJ34" s="129" t="str">
        <f>+IFERROR(IF(ISBLANK(VLOOKUP(CONCATENATE($F34,"_",BJ$4),P1126_4,MATCH(BJ$3,PAAC!$E$19:$M$19,0),0)),"",VLOOKUP(CONCATENATE($F34,"_",BJ$4),P1126_4,MATCH(BJ$3,PAAC!$E$19:$M$19,0),0)),"")</f>
        <v/>
      </c>
      <c r="BK34" s="129" t="str">
        <f>+IFERROR(IF(ISBLANK(VLOOKUP(CONCATENATE($F34,"_",BK$4),P1126_4,MATCH(BK$3,PAAC!$E$19:$M$19,0),0)),"",VLOOKUP(CONCATENATE($F34,"_",BK$4),P1126_4,MATCH(BK$3,PAAC!$E$19:$M$19,0),0)),"")</f>
        <v/>
      </c>
      <c r="BL34" s="129" t="str">
        <f>+IFERROR(IF(ISBLANK(VLOOKUP(CONCATENATE($F34,"_",BL$4),P1126_4,MATCH(BL$3,PAAC!$E$19:$M$19,0),0)),"",VLOOKUP(CONCATENATE($F34,"_",BL$4),P1126_4,MATCH(BL$3,PAAC!$E$19:$M$19,0),0)),"")</f>
        <v/>
      </c>
      <c r="BM34" s="129" t="str">
        <f>+IFERROR(IF(ISBLANK(VLOOKUP(CONCATENATE($F34,"_",BM$4),P1126_4,MATCH(BM$3,PAAC!$E$19:$M$19,0),0)),"",VLOOKUP(CONCATENATE($F34,"_",BM$4),P1126_4,MATCH(BM$3,PAAC!$E$19:$M$19,0),0)),"")</f>
        <v/>
      </c>
      <c r="BN34" s="129" t="str">
        <f>+IFERROR(IF(ISBLANK(VLOOKUP(CONCATENATE($F34,"_",BN$4),P1126_4,MATCH(BN$3,PAAC!$E$19:$M$19,0),0)),"",VLOOKUP(CONCATENATE($F34,"_",BN$4),P1126_4,MATCH(BN$3,PAAC!$E$19:$M$19,0),0)),"")</f>
        <v/>
      </c>
      <c r="BO34" s="129" t="str">
        <f>+IFERROR(IF(ISBLANK(VLOOKUP(CONCATENATE($F34,"_",BO$4),P1126_4,MATCH(BO$3,PAAC!$E$19:$M$19,0),0)),"",VLOOKUP(CONCATENATE($F34,"_",BO$4),P1126_4,MATCH(BO$3,PAAC!$E$19:$M$19,0),0)),"")</f>
        <v/>
      </c>
      <c r="BP34" s="129" t="str">
        <f>+IFERROR(IF(ISBLANK(VLOOKUP(CONCATENATE($F34,"_",BP$4),P1126_4,MATCH(BP$3,PAAC!$E$19:$M$19,0),0)),"",VLOOKUP(CONCATENATE($F34,"_",BP$4),P1126_4,MATCH(BP$3,PAAC!$E$19:$M$19,0),0)),"")</f>
        <v/>
      </c>
      <c r="BQ34" s="129" t="str">
        <f>+IFERROR(IF(ISBLANK(VLOOKUP(CONCATENATE($F34,"_",BQ$4),P1126_4,MATCH(BQ$3,PAAC!$E$19:$M$19,0),0)),"",VLOOKUP(CONCATENATE($F34,"_",BQ$4),P1126_4,MATCH(BQ$3,PAAC!$E$19:$M$19,0),0)),"")</f>
        <v/>
      </c>
      <c r="BR34" s="129" t="str">
        <f>+IFERROR(IF(ISBLANK(VLOOKUP(CONCATENATE($F34,"_",BR$4),P1126_4,MATCH(BR$3,PAAC!$E$19:$M$19,0),0)),"",VLOOKUP(CONCATENATE($F34,"_",BR$4),P1126_4,MATCH(BR$3,PAAC!$E$19:$M$19,0),0)),"")</f>
        <v/>
      </c>
      <c r="BS34" s="129" t="str">
        <f>+IFERROR(IF(ISBLANK(VLOOKUP(CONCATENATE($F34,"_",BS$4),P1126_4,MATCH(BS$3,PAAC!$E$19:$M$19,0),0)),"",VLOOKUP(CONCATENATE($F34,"_",BS$4),P1126_4,MATCH(BS$3,PAAC!$E$19:$M$19,0),0)),"")</f>
        <v/>
      </c>
      <c r="BT34" s="129" t="str">
        <f>+IFERROR(IF(ISBLANK(VLOOKUP(CONCATENATE($F34,"_",BT$4),P1126_4,MATCH(BT$3,PAAC!$E$19:$M$19,0),0)),"",VLOOKUP(CONCATENATE($F34,"_",BT$4),P1126_4,MATCH(BT$3,PAAC!$E$19:$M$19,0),0)),"")</f>
        <v/>
      </c>
      <c r="BU34" s="129" t="str">
        <f>+IFERROR(IF(ISBLANK(VLOOKUP(CONCATENATE($F34,"_",BU$4),P1126_4,MATCH(BU$3,PAAC!$E$19:$M$19,0),0)),"",VLOOKUP(CONCATENATE($F34,"_",BU$4),P1126_4,MATCH(BU$3,PAAC!$E$19:$M$19,0),0)),"")</f>
        <v/>
      </c>
      <c r="BV34" s="129" t="str">
        <f>+IFERROR(IF(ISBLANK(VLOOKUP(CONCATENATE($F34,"_",BV$4),P1126_4,MATCH(BV$3,PAAC!$E$19:$M$19,0),0)),"",VLOOKUP(CONCATENATE($F34,"_",BV$4),P1126_4,MATCH(BV$3,PAAC!$E$19:$M$19,0),0)),"")</f>
        <v/>
      </c>
      <c r="BW34" s="129" t="str">
        <f>+IFERROR(IF(ISBLANK(VLOOKUP(CONCATENATE($F34,"_",BW$4),P1126_4,MATCH(BW$3,PAAC!$E$19:$M$19,0),0)),"",VLOOKUP(CONCATENATE($F34,"_",BW$4),P1126_4,MATCH(BW$3,PAAC!$E$19:$M$19,0),0)),"")</f>
        <v/>
      </c>
      <c r="BX34" s="129" t="str">
        <f>+IFERROR(IF(ISBLANK(VLOOKUP(CONCATENATE($F34,"_",BX$4),P1126_4,MATCH(BX$3,PAAC!$E$19:$M$19,0),0)),"",VLOOKUP(CONCATENATE($F34,"_",BX$4),P1126_4,MATCH(BX$3,PAAC!$E$19:$M$19,0),0)),"")</f>
        <v/>
      </c>
      <c r="BY34" s="129" t="str">
        <f>+IFERROR(IF(ISBLANK(VLOOKUP(CONCATENATE($F34,"_",BY$4),P1126_4,MATCH(BY$3,PAAC!$E$19:$M$19,0),0)),"",VLOOKUP(CONCATENATE($F34,"_",BY$4),P1126_4,MATCH(BY$3,PAAC!$E$19:$M$19,0),0)),"")</f>
        <v/>
      </c>
      <c r="BZ34" s="129" t="str">
        <f>+IFERROR(IF(ISBLANK(VLOOKUP(CONCATENATE($F34,"_",BZ$4),P1126_4,MATCH(BZ$3,PAAC!$E$19:$M$19,0),0)),"",VLOOKUP(CONCATENATE($F34,"_",BZ$4),P1126_4,MATCH(BZ$3,PAAC!$E$19:$M$19,0),0)),"")</f>
        <v/>
      </c>
      <c r="CA34" s="129" t="str">
        <f>+IFERROR(IF(ISBLANK(VLOOKUP(CONCATENATE($F34,"_",CA$4),P1126_4,MATCH(CA$3,PAAC!$E$19:$M$19,0),0)),"",VLOOKUP(CONCATENATE($F34,"_",CA$4),P1126_4,MATCH(CA$3,PAAC!$E$19:$M$19,0),0)),"")</f>
        <v/>
      </c>
      <c r="CB34" s="129" t="str">
        <f>+IFERROR(IF(ISBLANK(VLOOKUP(CONCATENATE($F34,"_",CB$4),P1126_4,MATCH(CB$3,PAAC!$E$19:$M$19,0),0)),"",VLOOKUP(CONCATENATE($F34,"_",CB$4),P1126_4,MATCH(CB$3,PAAC!$E$19:$M$19,0),0)),"")</f>
        <v/>
      </c>
      <c r="CC34" s="129" t="str">
        <f>+IFERROR(IF(ISBLANK(VLOOKUP(CONCATENATE($F34,"_",CC$4),P1126_4,MATCH(CC$3,PAAC!$E$19:$M$19,0),0)),"",VLOOKUP(CONCATENATE($F34,"_",CC$4),P1126_4,MATCH(CC$3,PAAC!$E$19:$M$19,0),0)),"")</f>
        <v/>
      </c>
      <c r="CD34" s="129" t="str">
        <f t="shared" si="11"/>
        <v/>
      </c>
      <c r="CE34" s="129" t="str">
        <f t="shared" si="3"/>
        <v/>
      </c>
      <c r="CF34" s="129" t="str">
        <f t="shared" si="4"/>
        <v/>
      </c>
      <c r="CG34" s="129" t="str">
        <f t="shared" si="5"/>
        <v/>
      </c>
      <c r="CH34" s="129" t="str">
        <f t="shared" si="6"/>
        <v/>
      </c>
      <c r="CI34" t="str">
        <f t="shared" si="31"/>
        <v>Cumple</v>
      </c>
      <c r="CJ34" t="str">
        <f t="shared" si="31"/>
        <v>Satisfactorio</v>
      </c>
      <c r="CK34" t="str">
        <f t="shared" si="31"/>
        <v>Adecuado</v>
      </c>
      <c r="CL34" t="str">
        <f t="shared" si="31"/>
        <v>Coherente</v>
      </c>
      <c r="CM34" t="str">
        <f t="shared" si="31"/>
        <v>Concuerda</v>
      </c>
      <c r="CN34" t="str">
        <f t="shared" si="31"/>
        <v>Concuerda</v>
      </c>
      <c r="CO34" t="str">
        <f t="shared" si="31"/>
        <v>Relación directa</v>
      </c>
      <c r="CP34" t="str">
        <f t="shared" si="31"/>
        <v>Adecuado</v>
      </c>
      <c r="CQ34" t="str">
        <f t="shared" si="31"/>
        <v>Oportuna</v>
      </c>
      <c r="CR34" t="str">
        <f t="shared" si="31"/>
        <v>1. Se evidencia un avance cuantitativo del Indicador del 99% con corte a 31 de mayo 2020, teniendo en cuenta la justificación presentada a la Oficina Asesora de Planeación, mediante memorando con radicado No. 3-2020-9969._x000D_
_x000D_
2. Se solicita revisar la selección de la muestra. Según estimaciones, con 269 usuarios potenciales, con un estándar de margen de error de 5% y un nivel de confianza de 95 % es apropiado, obtener 159 encuestas completadas, y no 63, tal cómo se registra para el mes de enero de 2020. Siendo insuficiente también para los meses de febrero y marzo de 2020. Sin embargo, si no es viable encuestar 159 usuarios, porque implica una alta complejidad recoger y analizar todos esos datos, se puede realizar una elección probabilística o dirigida ya que no depende de la probabilidad sino de las características del objeto de estudio, pero lo anterior debe quedar especificado en la ficha de encuesta.</v>
      </c>
      <c r="CS34" t="str">
        <f t="shared" si="32"/>
        <v>Bibiana Rodríguez González</v>
      </c>
      <c r="CT34" t="str">
        <f t="shared" si="32"/>
        <v>Cumple</v>
      </c>
      <c r="CU34" t="str">
        <f t="shared" si="32"/>
        <v>Satisfactorio</v>
      </c>
      <c r="CV34" t="str">
        <f t="shared" si="32"/>
        <v>Adecuado</v>
      </c>
      <c r="CW34" t="str">
        <f t="shared" si="32"/>
        <v>Coherente</v>
      </c>
      <c r="CX34" t="str">
        <f t="shared" si="32"/>
        <v>Concuerda</v>
      </c>
      <c r="CY34" t="str">
        <f t="shared" si="32"/>
        <v>Concuerda</v>
      </c>
      <c r="CZ34" t="str">
        <f t="shared" si="32"/>
        <v>Relación directa</v>
      </c>
      <c r="DA34" t="str">
        <f t="shared" si="32"/>
        <v>Adecuado</v>
      </c>
      <c r="DB34" t="str">
        <f t="shared" si="32"/>
        <v>Oportuna</v>
      </c>
      <c r="DC34" t="str">
        <f t="shared" si="33"/>
        <v>Justificación presentada a la Oficina Asesora de Planeación, mediante memorando con radicado No. 3-2020-9969.</v>
      </c>
      <c r="DD34" t="str">
        <f t="shared" si="33"/>
        <v>Bibiana Rodríguez González</v>
      </c>
      <c r="DE34" t="e">
        <f t="shared" si="33"/>
        <v>#REF!</v>
      </c>
      <c r="DF34" t="e">
        <f t="shared" si="33"/>
        <v>#REF!</v>
      </c>
      <c r="DG34" t="e">
        <f t="shared" si="33"/>
        <v>#REF!</v>
      </c>
      <c r="DH34" t="e">
        <f t="shared" si="33"/>
        <v>#REF!</v>
      </c>
      <c r="DI34" t="e">
        <f t="shared" si="33"/>
        <v>#REF!</v>
      </c>
      <c r="DJ34" t="e">
        <f t="shared" si="33"/>
        <v>#REF!</v>
      </c>
      <c r="DK34" t="e">
        <f t="shared" si="33"/>
        <v>#REF!</v>
      </c>
      <c r="DL34" t="e">
        <f t="shared" si="33"/>
        <v>#REF!</v>
      </c>
      <c r="DM34" t="e">
        <f t="shared" si="34"/>
        <v>#REF!</v>
      </c>
      <c r="DN34" t="e">
        <f t="shared" si="34"/>
        <v>#REF!</v>
      </c>
      <c r="DO34" t="e">
        <f t="shared" si="34"/>
        <v>#REF!</v>
      </c>
      <c r="DP34" t="e">
        <f t="shared" si="34"/>
        <v>#REF!</v>
      </c>
      <c r="DQ34" t="e">
        <f t="shared" si="34"/>
        <v>#REF!</v>
      </c>
      <c r="DR34" t="e">
        <f t="shared" si="34"/>
        <v>#REF!</v>
      </c>
      <c r="DS34" t="e">
        <f t="shared" si="34"/>
        <v>#REF!</v>
      </c>
      <c r="DT34" t="e">
        <f t="shared" si="34"/>
        <v>#REF!</v>
      </c>
      <c r="DU34" t="e">
        <f t="shared" si="34"/>
        <v>#REF!</v>
      </c>
      <c r="DV34" t="e">
        <f t="shared" si="34"/>
        <v>#REF!</v>
      </c>
      <c r="DW34" t="e">
        <f t="shared" si="34"/>
        <v>#REF!</v>
      </c>
      <c r="DX34" t="e">
        <f t="shared" si="34"/>
        <v>#REF!</v>
      </c>
    </row>
    <row r="35" spans="1:128" x14ac:dyDescent="0.3">
      <c r="A35" s="423">
        <f t="shared" si="16"/>
        <v>22</v>
      </c>
      <c r="B35" t="str">
        <f t="shared" si="17"/>
        <v>1_Subdirección del Sistema Distrital de Archivos</v>
      </c>
      <c r="C35">
        <f t="shared" si="8"/>
        <v>1</v>
      </c>
      <c r="D35" t="str">
        <f t="shared" si="0"/>
        <v>Subdirección del Sistema Distrital de Archivos</v>
      </c>
      <c r="E35" t="str">
        <f t="shared" si="1"/>
        <v>sar</v>
      </c>
      <c r="F35" s="208">
        <f>'Sub. Técnica'!D12</f>
        <v>22</v>
      </c>
      <c r="G35" t="str">
        <f t="shared" si="30"/>
        <v>Constante</v>
      </c>
      <c r="H35" t="str">
        <f t="shared" si="30"/>
        <v>Porcentaje</v>
      </c>
      <c r="I35">
        <f t="shared" si="30"/>
        <v>0.98</v>
      </c>
      <c r="J35">
        <f t="shared" si="30"/>
        <v>0.98</v>
      </c>
      <c r="K35" t="str">
        <f>+IFERROR(VLOOKUP($F35,Subtecnica_1,MATCH(K$5,'Sub. Técnica'!$D$9:$V$9,0),0),"")</f>
        <v>Constante</v>
      </c>
      <c r="L35" t="str">
        <f>+IFERROR(VLOOKUP($F35,Subtecnica_1,MATCH(L$5,'Sub. Técnica'!$D$9:$V$9,0),0),"")</f>
        <v/>
      </c>
      <c r="M35">
        <f t="shared" si="35"/>
        <v>294</v>
      </c>
      <c r="N35">
        <f>+IFERROR(VLOOKUP($F35,Subtecnica_1,MATCH(N$5,'Sub. Técnica'!$D$9:$V$9,0),0),"")</f>
        <v>98</v>
      </c>
      <c r="O35">
        <f>+IFERROR(VLOOKUP($F35,Subtecnica_1,MATCH(O$5,'Sub. Técnica'!$D$9:$V$9,0),0),"")</f>
        <v>98</v>
      </c>
      <c r="P35">
        <f>+IFERROR(VLOOKUP($F35,Subtecnica_1,MATCH(P$5,'Sub. Técnica'!$D$9:$V$9,0),0),"")</f>
        <v>98</v>
      </c>
      <c r="Q35">
        <f>+IFERROR(VLOOKUP($F35,Subtecnica_1,MATCH(Q$5,'Sub. Técnica'!$D$9:$V$9,0),0),"")</f>
        <v>98</v>
      </c>
      <c r="R35">
        <f>+IFERROR(VLOOKUP($F35,Subtecnica_1,MATCH(R$5,'Sub. Técnica'!$D$9:$V$9,0),0),"")</f>
        <v>98</v>
      </c>
      <c r="S35">
        <f>+IFERROR(VLOOKUP($F35,Subtecnica_1,MATCH(S$5,'Sub. Técnica'!$D$9:$V$9,0),0),"")</f>
        <v>98</v>
      </c>
      <c r="T35">
        <f>+IFERROR(VLOOKUP($F35,Subtecnica_1,MATCH(T$5,'Sub. Técnica'!$D$9:$V$9,0),0),"")</f>
        <v>98</v>
      </c>
      <c r="U35" t="str">
        <f>+IFERROR(VLOOKUP($F35,Subtecnica_1,MATCH(U$5,'Sub. Técnica'!$D$9:$V$9,0),0),"")</f>
        <v>Mejorar el índice de satisfacción de  las entidades distritales frente a los servicios prestados por el Archivo de Bogotá</v>
      </c>
      <c r="V35" t="str">
        <f>+IFERROR(VLOOKUP($F35,Subtecnica_1,MATCH(V$5,'Sub. Técnica'!$D$9:$V$9,0),0),"")</f>
        <v>Aplicar la herramienta para medir el grado de satisfacción de las entidades distritales.</v>
      </c>
      <c r="W35" t="str">
        <f>+IFERROR(VLOOKUP($F35,Subtecnica_1,MATCH(W$5,'Sub. Técnica'!$D$9:$V$9,0),0),"")</f>
        <v>Identificar el grado de satisfacción de las entidades frente a los servicios prestados por la Dirección Distrital de Archivo, con el fin de reunir informacion que permita una adecuada toma de desiciones para un excelente servicio a las entidades</v>
      </c>
      <c r="X35" t="str">
        <f>+IFERROR(VLOOKUP($F35,Subtecnica_1,MATCH(X$5,'Sub. Técnica'!$D$9:$V$9,0),0),"")</f>
        <v>Informe mensual de resultados de la medición de la encuesta de satisfacción a las entidades distritales.</v>
      </c>
      <c r="Y35">
        <f>+IFERROR(IF(ISBLANK(VLOOKUP(CONCATENATE($F35,"_",Y$4),Subtecnica_2,MATCH(Y$3,'Sub. Técnica'!$F$26:$O$26,0),0)),"",VLOOKUP(CONCATENATE($F35,"_",Y$4),Subtecnica_2,MATCH(Y$3,'Sub. Técnica'!$F$26:$O$26,0),0)),"")</f>
        <v>100</v>
      </c>
      <c r="Z35">
        <f>+IFERROR(IF(ISBLANK(VLOOKUP(CONCATENATE($F35,"_",Z$4),Subtecnica_2,MATCH(Z$3,'Sub. Técnica'!$F$26:$O$26,0),0)),"",VLOOKUP(CONCATENATE($F35,"_",Z$4),Subtecnica_2,MATCH(Z$3,'Sub. Técnica'!$F$26:$O$26,0),0)),"")</f>
        <v>100</v>
      </c>
      <c r="AA35" t="str">
        <f>+IFERROR(IF(ISBLANK(VLOOKUP(CONCATENATE($F35,"_",AA$4),Subtecnica_2,MATCH(AA$3,'Sub. Técnica'!$F$26:$O$26,0),0)),"",VLOOKUP(CONCATENATE($F35,"_",AA$4),Subtecnica_2,MATCH(AA$3,'Sub. Técnica'!$F$26:$O$26,0),0)),"")</f>
        <v xml:space="preserve"> En el mes de enero se aplicaron cinco (5) encuestas arrojando un porcentaje de satisfacción del 100 %. Las encuestas se distribuyeron en asistencias técnicas dadas a las siguientes entidades: EAAB, Aguas de Bogotá, ERU e IDT. Como resultado de la aplicación de las encuestas se realizó el informe correspondiente al mes de enero.   </v>
      </c>
      <c r="AB35" t="str">
        <f>+IFERROR(IF(ISBLANK(VLOOKUP(CONCATENATE($F35,"_",AB$4),Subtecnica_2,MATCH(AB$3,'Sub. Técnica'!$F$26:$O$26,0),0)),"",VLOOKUP(CONCATENATE($F35,"_",AB$4),Subtecnica_2,MATCH(AB$3,'Sub. Técnica'!$F$26:$O$26,0),0)),"")</f>
        <v>No Aplica</v>
      </c>
      <c r="AC35" t="str">
        <f>+IFERROR(IF(ISBLANK(VLOOKUP(CONCATENATE($F35,"_",AC$4),Subtecnica_2,MATCH(AC$3,'Sub. Técnica'!$F$26:$O$26,0),0)),"",VLOOKUP(CONCATENATE($F35,"_",AC$4),Subtecnica_2,MATCH(AC$3,'Sub. Técnica'!$F$26:$O$26,0),0)),"")</f>
        <v>La aplicación de las encuestas tiene como beneficio la medición de la calidad del servicio prestado a las entidades. En este caso se obtuvo  la mejor calificación posible.</v>
      </c>
      <c r="AD35">
        <f>+IFERROR(IF(ISBLANK(VLOOKUP(CONCATENATE($F35,"_",AD$4),Subtecnica_2,MATCH(AD$3,'Sub. Técnica'!$F$26:$O$26,0),0)),"",VLOOKUP(CONCATENATE($F35,"_",AD$4),Subtecnica_2,MATCH(AD$3,'Sub. Técnica'!$F$26:$O$26,0),0)),"")</f>
        <v>95</v>
      </c>
      <c r="AE35">
        <f>+IFERROR(IF(ISBLANK(VLOOKUP(CONCATENATE($F35,"_",AE$4),Subtecnica_2,MATCH(AE$3,'Sub. Técnica'!$F$26:$O$26,0),0)),"",VLOOKUP(CONCATENATE($F35,"_",AE$4),Subtecnica_2,MATCH(AE$3,'Sub. Técnica'!$F$26:$O$26,0),0)),"")</f>
        <v>100</v>
      </c>
      <c r="AF35" t="str">
        <f>+IFERROR(IF(ISBLANK(VLOOKUP(CONCATENATE($F35,"_",AF$4),Subtecnica_2,MATCH(AF$3,'Sub. Técnica'!$F$26:$O$26,0),0)),"",VLOOKUP(CONCATENATE($F35,"_",AF$4),Subtecnica_2,MATCH(AF$3,'Sub. Técnica'!$F$26:$O$26,0),0)),"")</f>
        <v xml:space="preserve">En el mes de febrero se aplicaron once (11) encuestas arrojando un porcentaje de satisfacción del 95%. Las encuestas se distribuyeron en asistencias técnicas dadas a las siguientes entidades: IPES, Aguas de Bogotá, DADEP, Canal Capital, IDPYBA, EAAB, FONCEP y Lotería de Bogotá. Como resultado de la aplicación de las encuestas se realizó el informe correspondiente al mes de febrero.                                                                                              
</v>
      </c>
      <c r="AG35" t="str">
        <f>+IFERROR(IF(ISBLANK(VLOOKUP(CONCATENATE($F35,"_",AG$4),Subtecnica_2,MATCH(AG$3,'Sub. Técnica'!$F$26:$O$26,0),0)),"",VLOOKUP(CONCATENATE($F35,"_",AG$4),Subtecnica_2,MATCH(AG$3,'Sub. Técnica'!$F$26:$O$26,0),0)),"")</f>
        <v xml:space="preserve"> Se identificó particularmente en las asistencias dadas al IDPYBA, toda vez que en un mismo momento se aplicaron varias encuestas en diferentes mesas de trabajo, para lo cual se tomarán los correctivos necesarios para mejorar lo pertinente teniendo en cuenta las fortalezas y las oportunidades de mejora del servicio.            </v>
      </c>
      <c r="AH35" t="str">
        <f>+IFERROR(IF(ISBLANK(VLOOKUP(CONCATENATE($F35,"_",AH$4),Subtecnica_2,MATCH(AH$3,'Sub. Técnica'!$F$26:$O$26,0),0)),"",VLOOKUP(CONCATENATE($F35,"_",AH$4),Subtecnica_2,MATCH(AH$3,'Sub. Técnica'!$F$26:$O$26,0),0)),"")</f>
        <v>La aplicación de las encuestas tiene como beneficio la medición de la calidad del servicio prestado a las entidad.alcanzando un porcentaje satisfactorio del 95%.</v>
      </c>
      <c r="AI35">
        <f>+IFERROR(IF(ISBLANK(VLOOKUP(CONCATENATE($F35,"_",AI$4),Subtecnica_2,MATCH(AI$3,'Sub. Técnica'!$F$26:$O$26,0),0)),"",VLOOKUP(CONCATENATE($F35,"_",AI$4),Subtecnica_2,MATCH(AI$3,'Sub. Técnica'!$F$26:$O$26,0),0)),"")</f>
        <v>98</v>
      </c>
      <c r="AJ35">
        <f>+IFERROR(IF(ISBLANK(VLOOKUP(CONCATENATE($F35,"_",AJ$4),Subtecnica_2,MATCH(AJ$3,'Sub. Técnica'!$F$26:$O$26,0),0)),"",VLOOKUP(CONCATENATE($F35,"_",AJ$4),Subtecnica_2,MATCH(AJ$3,'Sub. Técnica'!$F$26:$O$26,0),0)),"")</f>
        <v>100</v>
      </c>
      <c r="AK35" t="str">
        <f>+IFERROR(IF(ISBLANK(VLOOKUP(CONCATENATE($F35,"_",AK$4),Subtecnica_2,MATCH(AK$3,'Sub. Técnica'!$F$26:$O$26,0),0)),"",VLOOKUP(CONCATENATE($F35,"_",AK$4),Subtecnica_2,MATCH(AK$3,'Sub. Técnica'!$F$26:$O$26,0),0)),"")</f>
        <v xml:space="preserve">  En el mes de marzo se aplicaron diecíseis (16) encuestas de satisfacción correspondiente a mesas de trabajo y una jornada de socialización, arrojando un porcentaje de satisfacción del 98%. Estas encuestas se aplicaron a las siguientes entidades: Aguas de Bogota, Empresa Metro, Instituto Distrital de Turismo, Loteria de Bogotá, Secretaría Distrital de Ambiente, Secretaría Distrital de Movilidad, Secretaría Distrital de la Mujer, Secretaría Distrital de Seguridad Convivencia y Justicia, Subred Suroccidente, Veeduria e IDIPYBA. Como resultado de la aplicación de las encuestas se realizó el informe correspondiente al mes de marzo.
</v>
      </c>
      <c r="AL35" t="str">
        <f>+IFERROR(IF(ISBLANK(VLOOKUP(CONCATENATE($F35,"_",AL$4),Subtecnica_2,MATCH(AL$3,'Sub. Técnica'!$F$26:$O$26,0),0)),"",VLOOKUP(CONCATENATE($F35,"_",AL$4),Subtecnica_2,MATCH(AL$3,'Sub. Técnica'!$F$26:$O$26,0),0)),"")</f>
        <v>No Aplica</v>
      </c>
      <c r="AM35" t="str">
        <f>+IFERROR(IF(ISBLANK(VLOOKUP(CONCATENATE($F35,"_",AM$4),Subtecnica_2,MATCH(AM$3,'Sub. Técnica'!$F$26:$O$26,0),0)),"",VLOOKUP(CONCATENATE($F35,"_",AM$4),Subtecnica_2,MATCH(AM$3,'Sub. Técnica'!$F$26:$O$26,0),0)),"")</f>
        <v xml:space="preserve">La aplicación de las encuestas tiene como beneficio la medición de la calidad del servicio prestado a las entidades. En este caso el servicio mejoró en relación con el mes pasado y permitió apoyar criterios temáticos para la realización de acciones de asistencia técnica por oferta, generando estrategias de acompañamiento de acuerdo con el grado de interés manifestado por las entidades distritales, las cuales nacen de las necesidades identificadas, problemas, retos en temas de gestión documental y archivos, y de la función archivística. </v>
      </c>
      <c r="AN35">
        <f>+IFERROR(IF(ISBLANK(VLOOKUP(CONCATENATE($F35,"_",AN$4),Subtecnica_2,MATCH(AN$3,'Sub. Técnica'!$F$26:$O$26,0),0)),"",VLOOKUP(CONCATENATE($F35,"_",AN$4),Subtecnica_2,MATCH(AN$3,'Sub. Técnica'!$F$26:$O$26,0),0)),"")</f>
        <v>98</v>
      </c>
      <c r="AO35">
        <f>+IFERROR(IF(ISBLANK(VLOOKUP(CONCATENATE($F35,"_",AO$4),Subtecnica_2,MATCH(AO$3,'Sub. Técnica'!$F$26:$O$26,0),0)),"",VLOOKUP(CONCATENATE($F35,"_",AO$4),Subtecnica_2,MATCH(AO$3,'Sub. Técnica'!$F$26:$O$26,0),0)),"")</f>
        <v>100</v>
      </c>
      <c r="AP35" t="str">
        <f>+IFERROR(IF(ISBLANK(VLOOKUP(CONCATENATE($F35,"_",AP$4),Subtecnica_2,MATCH(AP$3,'Sub. Técnica'!$F$26:$O$26,0),0)),"",VLOOKUP(CONCATENATE($F35,"_",AP$4),Subtecnica_2,MATCH(AP$3,'Sub. Técnica'!$F$26:$O$26,0),0)),"")</f>
        <v>En el  mes de abril se aplicaron veintiún (21) encuestas de satisfacción, las cuales corresponden al desarrollo de diez (10) mesas de trabajo por oferta y  once (11) mesas de trabajo por demanda, arrojando un porcentaje de satisfacción del 98%, Estas encuestas se aplicaron a las siguientes entidades: Instituto Distrital de la Artes (IDARTES), Secretaría de Educación del Distrito (SED), Instituto Distrital de Patrimonio Cultural (IDPC), Secretaría Distrital de Movilidad (SDM), Instituto de Desarrollo Urbano (IDU), Empresa de Acueducto y Alcantarillado de Bogotá (EAAB), Instituto para la Economía Social (IPES), Secretaría Distrital de Salud (SDS), Departamento Administrativo de Defensoría del Espacio Público, (DADEP) Instituto Distrital de la Participación y Acción Comunal (IDPAC), Terminal de Transportes, Transmilenio, Secretaría de Integración Social (SDIS), Subred Integrada de Salud Sur, Subred Integrada de Salud Sur Occidente, Subred Integrada de Servicios de Salud Norte, Subred Integrada de Centro Oriente, Metro, Capital Salud y  Empresa de Renovación Urbana (ERU)
 Como resultado de la aplicación de las encuestas se realizó el informe correspondiente al mes de abril.</v>
      </c>
      <c r="AQ35" t="str">
        <f>+IFERROR(IF(ISBLANK(VLOOKUP(CONCATENATE($F35,"_",AQ$4),Subtecnica_2,MATCH(AQ$3,'Sub. Técnica'!$F$26:$O$26,0),0)),"",VLOOKUP(CONCATENATE($F35,"_",AQ$4),Subtecnica_2,MATCH(AQ$3,'Sub. Técnica'!$F$26:$O$26,0),0)),"")</f>
        <v>No Aplica</v>
      </c>
      <c r="AR35" t="str">
        <f>+IFERROR(IF(ISBLANK(VLOOKUP(CONCATENATE($F35,"_",AR$4),Subtecnica_2,MATCH(AR$3,'Sub. Técnica'!$F$26:$O$26,0),0)),"",VLOOKUP(CONCATENATE($F35,"_",AR$4),Subtecnica_2,MATCH(AR$3,'Sub. Técnica'!$F$26:$O$26,0),0)),"")</f>
        <v xml:space="preserve">La aplicación de las encuestas tiene como beneficio la medición de la calidad del servicio prestado a las entidades. En este caso el servicio se mantuvo en relación con el mes pasado y permitió apoyar criterios temáticos para la realización de acciones de asistencia técnica por oferta, en temas como Tabla de Retención Documental (TRD), Tabla de Valoración Documental (TVD), Sistema Integrado de Conservación (SIC) y Banco Terminológico (BT), Intervención de fondo documental acumulado, elaboración de inventarios para el desarrollo de los procesos de la gestión documental y ajustes en las fichas técnicas a los procesos de contratación relacionados con los temas de gestión documental y archivos. </v>
      </c>
      <c r="AS35">
        <f>+IFERROR(IF(ISBLANK(VLOOKUP(CONCATENATE($F35,"_",AS$4),Subtecnica_2,MATCH(AS$3,'Sub. Técnica'!$F$26:$O$26,0),0)),"",VLOOKUP(CONCATENATE($F35,"_",AS$4),Subtecnica_2,MATCH(AS$3,'Sub. Técnica'!$F$26:$O$26,0),0)),"")</f>
        <v>98</v>
      </c>
      <c r="AT35">
        <f>+IFERROR(IF(ISBLANK(VLOOKUP(CONCATENATE($F35,"_",AT$4),Subtecnica_2,MATCH(AT$3,'Sub. Técnica'!$F$26:$O$26,0),0)),"",VLOOKUP(CONCATENATE($F35,"_",AT$4),Subtecnica_2,MATCH(AT$3,'Sub. Técnica'!$F$26:$O$26,0),0)),"")</f>
        <v>100</v>
      </c>
      <c r="AU35" t="str">
        <f>+IFERROR(IF(ISBLANK(VLOOKUP(CONCATENATE($F35,"_",AU$4),Subtecnica_2,MATCH(AU$3,'Sub. Técnica'!$F$26:$O$26,0),0)),"",VLOOKUP(CONCATENATE($F35,"_",AU$4),Subtecnica_2,MATCH(AU$3,'Sub. Técnica'!$F$26:$O$26,0),0)),"")</f>
        <v>En el mes de mayo se aplicaron diecinueve (19) encuestas de satisfacción, que corresponden al mismo número de mesas de trabajo: 10 por oferta y 9 por demanda, arrojando un porcentaje de satisfacción del 98%, éstas encuestas se aplicaron a las siguientes entidades: IDARTES, IDRIPON, SDS, SDP, SDA, Terminal, Concejo, SDE, IDRD, IDCBIS, EAAB, FUGA, UMV, Veeduría, IDT, Capital Salud y  SDIS.
Como resultado de la aplicación de las encuestas se realizó el informe correspondiente al mes de mayo.</v>
      </c>
      <c r="AV35" t="str">
        <f>+IFERROR(IF(ISBLANK(VLOOKUP(CONCATENATE($F35,"_",AV$4),Subtecnica_2,MATCH(AV$3,'Sub. Técnica'!$F$26:$O$26,0),0)),"",VLOOKUP(CONCATENATE($F35,"_",AV$4),Subtecnica_2,MATCH(AV$3,'Sub. Técnica'!$F$26:$O$26,0),0)),"")</f>
        <v>No Aplica</v>
      </c>
      <c r="AW35" t="str">
        <f>+IFERROR(IF(ISBLANK(VLOOKUP(CONCATENATE($F35,"_",AW$4),Subtecnica_2,MATCH(AW$3,'Sub. Técnica'!$F$26:$O$26,0),0)),"",VLOOKUP(CONCATENATE($F35,"_",AW$4),Subtecnica_2,MATCH(AW$3,'Sub. Técnica'!$F$26:$O$26,0),0)),"")</f>
        <v>El resultado de estas acciones ha sido el acompañamiento técnico a las entidades en la elaboración e implementación de sus instrumentos archivísticos, Tabla de Retención Documental (TRD), Sistema Integrado de Conservación (SIC) , Banco Terminológico (BT) y ajustes en las fichas y/o anexos técnicos a los procesos de contratación relacionados con los temas de gestión documental y archivos. Como resultado también se indetificó que las tres necesidades técnicas y administrativas más importantes son: Tabla de Control de Acceso, Banco Terminológico y SIC: Plan de Presenvación Digital.</v>
      </c>
      <c r="AX35">
        <f>+IFERROR(IF(ISBLANK(VLOOKUP(CONCATENATE($F35,"_",AX$4),Subtecnica_2,MATCH(AX$3,'Sub. Técnica'!$F$26:$O$26,0),0)),"",VLOOKUP(CONCATENATE($F35,"_",AX$4),Subtecnica_2,MATCH(AX$3,'Sub. Técnica'!$F$26:$O$26,0),0)),"")</f>
        <v>97</v>
      </c>
      <c r="AY35">
        <f>+IFERROR(IF(ISBLANK(VLOOKUP(CONCATENATE($F35,"_",AY$4),Subtecnica_2,MATCH(AY$3,'Sub. Técnica'!$F$26:$O$26,0),0)),"",VLOOKUP(CONCATENATE($F35,"_",AY$4),Subtecnica_2,MATCH(AY$3,'Sub. Técnica'!$F$26:$O$26,0),0)),"")</f>
        <v>100</v>
      </c>
      <c r="AZ35" t="str">
        <f>+IFERROR(IF(ISBLANK(VLOOKUP(CONCATENATE($F35,"_",AZ$4),Subtecnica_2,MATCH(AZ$3,'Sub. Técnica'!$F$26:$O$26,0),0)),"",VLOOKUP(CONCATENATE($F35,"_",AZ$4),Subtecnica_2,MATCH(AZ$3,'Sub. Técnica'!$F$26:$O$26,0),0)),"")</f>
        <v>En el mes de junio se aplicaron treinta y dos (32) encuestas de satisfacción, las cuales corresponden al mismo número de mesas de trabajo, diez (10) mesas de trabajo por oferta y veintídos (22) mesas de trabajo por demanda, arrojando un porcentaje de satisfacción del 97%. Estas encuestas se aplicaron a las siguientes entidades: Secretaría Distrital de Ambiente, Empresa de Transporte del Tercer Milenio -Transmilenio, Canal Capital, Instituto para la Economía Social -IPES, Secretaría Distrital de Movilidad, Secretaría Distrital de Planeación, Universidad Distrital Francisco José de Caldas, Secretaría Distrital de Salud, Entidad Asesora de Gestión Administrativa y Técnica -EAGAT, La Terminal de Transporte S.A, Instituto de Desarrollo Urbano -IDU, Instituto Distrital de las Artes -IDARTES, Empresa de Acueducto y Alcantarillado de Bogotá -EAAB, Caja de Vivienda Popular -CVP, Unidad Administrativa Especial de Rehabilitación y Mantenimiento Vial -UAERMV, Secretaría Distrital de Seguridad, Convivencia y Justicia, Instituto Distrital de Protección y Bienestar Animal -IDPYBA, Secretaría de Cultura, Recreación y Deporte, Secretaría de Integración Social, Secretaría General de la Alcaldía Mayor de Bogotá, Secretaría Distrital de Hacienda y Departamento Administrativo de la Defensoría del Espacio Público-DADEP.                            Como resultado de la aplicación de las encuestas se realizó el informe correspondiente al mes de junio.</v>
      </c>
      <c r="BA35" t="str">
        <f>+IFERROR(IF(ISBLANK(VLOOKUP(CONCATENATE($F35,"_",BA$4),Subtecnica_2,MATCH(BA$3,'Sub. Técnica'!$F$26:$O$26,0),0)),"",VLOOKUP(CONCATENATE($F35,"_",BA$4),Subtecnica_2,MATCH(BA$3,'Sub. Técnica'!$F$26:$O$26,0),0)),"")</f>
        <v xml:space="preserve">Se evidencia que el indicador bajó con relación a los meses anteriores, lo cual indica que para el mes de junio no se logró cumplir con la meta establecida que es del 98%. Lo anterior, se da teniendo en cuenta que varias entidades distritales calificaron con un valor de 7 u 8, especialmente en la pregunta No. 6: “¿El contenido del material dispuesto por los profesionales (talleres, normatividad, presentaciones, otros) fue el adecuado para el desarrollo de la asistencia técnica?”. Este resultado obedece a la situación de pandemia ocasionada por el COVID-19, las medidas de aislamiento preventivo obligatorio y la priorización del trabajo en casa, ocasionando, problemas de conectividad, dificultando el desarrollo de las mesas de trabajo de asistencia técnica de manera virtual y por ende visualizar el contenido.  Así las cosas, al interior del equipo se está evaluando la implementación de una estrategia que logré mejorar el nivel de satisfacción en este aspecto.
</v>
      </c>
      <c r="BB35" t="str">
        <f>+IFERROR(IF(ISBLANK(VLOOKUP(CONCATENATE($F35,"_",BB$4),Subtecnica_2,MATCH(BB$3,'Sub. Técnica'!$F$26:$O$26,0),0)),"",VLOOKUP(CONCATENATE($F35,"_",BB$4),Subtecnica_2,MATCH(BB$3,'Sub. Técnica'!$F$26:$O$26,0),0)),"")</f>
        <v>Se evidencia que alcanzamos el máximo nivel de satisfacción para los siguientes aspectos: El conocimiento de los profesionales frente a los diferentes temas desarrollados, los conceptos emitidos fueron claros y las asistencias técnicas fueron correctamente orientadas y enfocadas,  logrando así que las entidades distritales solucionaran sus dudas técnicas frente a las diferentes temáticas brindadas y éstas sean implementadas al interior de las entidades para mejorar la gestión documental y archivística.</v>
      </c>
      <c r="BC35">
        <f t="shared" si="10"/>
        <v>586</v>
      </c>
      <c r="BD35">
        <f t="shared" si="10"/>
        <v>600</v>
      </c>
      <c r="BE35" s="129" t="str">
        <f>+IFERROR(IF(ISBLANK(VLOOKUP(CONCATENATE($F35,"_",BE$4),P1126_4,MATCH(BE$3,PAAC!$E$19:$M$19,0),0)),"",VLOOKUP(CONCATENATE($F35,"_",BE$4),P1126_4,MATCH(BE$3,PAAC!$E$19:$M$19,0),0)),"")</f>
        <v/>
      </c>
      <c r="BF35" s="129" t="str">
        <f>+IFERROR(IF(ISBLANK(VLOOKUP(CONCATENATE($F35,"_",BF$4),P1126_4,MATCH(BF$3,PAAC!$E$19:$M$19,0),0)),"",VLOOKUP(CONCATENATE($F35,"_",BF$4),P1126_4,MATCH(BF$3,PAAC!$E$19:$M$19,0),0)),"")</f>
        <v/>
      </c>
      <c r="BG35" s="129" t="str">
        <f>+IFERROR(IF(ISBLANK(VLOOKUP(CONCATENATE($F35,"_",BG$4),P1126_4,MATCH(BG$3,PAAC!$E$19:$M$19,0),0)),"",VLOOKUP(CONCATENATE($F35,"_",BG$4),P1126_4,MATCH(BG$3,PAAC!$E$19:$M$19,0),0)),"")</f>
        <v/>
      </c>
      <c r="BH35" s="129" t="str">
        <f>+IFERROR(IF(ISBLANK(VLOOKUP(CONCATENATE($F35,"_",BH$4),P1126_4,MATCH(BH$3,PAAC!$E$19:$M$19,0),0)),"",VLOOKUP(CONCATENATE($F35,"_",BH$4),P1126_4,MATCH(BH$3,PAAC!$E$19:$M$19,0),0)),"")</f>
        <v/>
      </c>
      <c r="BI35" s="129" t="str">
        <f>+IFERROR(IF(ISBLANK(VLOOKUP(CONCATENATE($F35,"_",BI$4),P1126_4,MATCH(BI$3,PAAC!$E$19:$M$19,0),0)),"",VLOOKUP(CONCATENATE($F35,"_",BI$4),P1126_4,MATCH(BI$3,PAAC!$E$19:$M$19,0),0)),"")</f>
        <v/>
      </c>
      <c r="BJ35" s="129" t="str">
        <f>+IFERROR(IF(ISBLANK(VLOOKUP(CONCATENATE($F35,"_",BJ$4),P1126_4,MATCH(BJ$3,PAAC!$E$19:$M$19,0),0)),"",VLOOKUP(CONCATENATE($F35,"_",BJ$4),P1126_4,MATCH(BJ$3,PAAC!$E$19:$M$19,0),0)),"")</f>
        <v/>
      </c>
      <c r="BK35" s="129" t="str">
        <f>+IFERROR(IF(ISBLANK(VLOOKUP(CONCATENATE($F35,"_",BK$4),P1126_4,MATCH(BK$3,PAAC!$E$19:$M$19,0),0)),"",VLOOKUP(CONCATENATE($F35,"_",BK$4),P1126_4,MATCH(BK$3,PAAC!$E$19:$M$19,0),0)),"")</f>
        <v/>
      </c>
      <c r="BL35" s="129" t="str">
        <f>+IFERROR(IF(ISBLANK(VLOOKUP(CONCATENATE($F35,"_",BL$4),P1126_4,MATCH(BL$3,PAAC!$E$19:$M$19,0),0)),"",VLOOKUP(CONCATENATE($F35,"_",BL$4),P1126_4,MATCH(BL$3,PAAC!$E$19:$M$19,0),0)),"")</f>
        <v/>
      </c>
      <c r="BM35" s="129" t="str">
        <f>+IFERROR(IF(ISBLANK(VLOOKUP(CONCATENATE($F35,"_",BM$4),P1126_4,MATCH(BM$3,PAAC!$E$19:$M$19,0),0)),"",VLOOKUP(CONCATENATE($F35,"_",BM$4),P1126_4,MATCH(BM$3,PAAC!$E$19:$M$19,0),0)),"")</f>
        <v/>
      </c>
      <c r="BN35" s="129" t="str">
        <f>+IFERROR(IF(ISBLANK(VLOOKUP(CONCATENATE($F35,"_",BN$4),P1126_4,MATCH(BN$3,PAAC!$E$19:$M$19,0),0)),"",VLOOKUP(CONCATENATE($F35,"_",BN$4),P1126_4,MATCH(BN$3,PAAC!$E$19:$M$19,0),0)),"")</f>
        <v/>
      </c>
      <c r="BO35" s="129" t="str">
        <f>+IFERROR(IF(ISBLANK(VLOOKUP(CONCATENATE($F35,"_",BO$4),P1126_4,MATCH(BO$3,PAAC!$E$19:$M$19,0),0)),"",VLOOKUP(CONCATENATE($F35,"_",BO$4),P1126_4,MATCH(BO$3,PAAC!$E$19:$M$19,0),0)),"")</f>
        <v/>
      </c>
      <c r="BP35" s="129" t="str">
        <f>+IFERROR(IF(ISBLANK(VLOOKUP(CONCATENATE($F35,"_",BP$4),P1126_4,MATCH(BP$3,PAAC!$E$19:$M$19,0),0)),"",VLOOKUP(CONCATENATE($F35,"_",BP$4),P1126_4,MATCH(BP$3,PAAC!$E$19:$M$19,0),0)),"")</f>
        <v/>
      </c>
      <c r="BQ35" s="129" t="str">
        <f>+IFERROR(IF(ISBLANK(VLOOKUP(CONCATENATE($F35,"_",BQ$4),P1126_4,MATCH(BQ$3,PAAC!$E$19:$M$19,0),0)),"",VLOOKUP(CONCATENATE($F35,"_",BQ$4),P1126_4,MATCH(BQ$3,PAAC!$E$19:$M$19,0),0)),"")</f>
        <v/>
      </c>
      <c r="BR35" s="129" t="str">
        <f>+IFERROR(IF(ISBLANK(VLOOKUP(CONCATENATE($F35,"_",BR$4),P1126_4,MATCH(BR$3,PAAC!$E$19:$M$19,0),0)),"",VLOOKUP(CONCATENATE($F35,"_",BR$4),P1126_4,MATCH(BR$3,PAAC!$E$19:$M$19,0),0)),"")</f>
        <v/>
      </c>
      <c r="BS35" s="129" t="str">
        <f>+IFERROR(IF(ISBLANK(VLOOKUP(CONCATENATE($F35,"_",BS$4),P1126_4,MATCH(BS$3,PAAC!$E$19:$M$19,0),0)),"",VLOOKUP(CONCATENATE($F35,"_",BS$4),P1126_4,MATCH(BS$3,PAAC!$E$19:$M$19,0),0)),"")</f>
        <v/>
      </c>
      <c r="BT35" s="129" t="str">
        <f>+IFERROR(IF(ISBLANK(VLOOKUP(CONCATENATE($F35,"_",BT$4),P1126_4,MATCH(BT$3,PAAC!$E$19:$M$19,0),0)),"",VLOOKUP(CONCATENATE($F35,"_",BT$4),P1126_4,MATCH(BT$3,PAAC!$E$19:$M$19,0),0)),"")</f>
        <v/>
      </c>
      <c r="BU35" s="129" t="str">
        <f>+IFERROR(IF(ISBLANK(VLOOKUP(CONCATENATE($F35,"_",BU$4),P1126_4,MATCH(BU$3,PAAC!$E$19:$M$19,0),0)),"",VLOOKUP(CONCATENATE($F35,"_",BU$4),P1126_4,MATCH(BU$3,PAAC!$E$19:$M$19,0),0)),"")</f>
        <v/>
      </c>
      <c r="BV35" s="129" t="str">
        <f>+IFERROR(IF(ISBLANK(VLOOKUP(CONCATENATE($F35,"_",BV$4),P1126_4,MATCH(BV$3,PAAC!$E$19:$M$19,0),0)),"",VLOOKUP(CONCATENATE($F35,"_",BV$4),P1126_4,MATCH(BV$3,PAAC!$E$19:$M$19,0),0)),"")</f>
        <v/>
      </c>
      <c r="BW35" s="129" t="str">
        <f>+IFERROR(IF(ISBLANK(VLOOKUP(CONCATENATE($F35,"_",BW$4),P1126_4,MATCH(BW$3,PAAC!$E$19:$M$19,0),0)),"",VLOOKUP(CONCATENATE($F35,"_",BW$4),P1126_4,MATCH(BW$3,PAAC!$E$19:$M$19,0),0)),"")</f>
        <v/>
      </c>
      <c r="BX35" s="129" t="str">
        <f>+IFERROR(IF(ISBLANK(VLOOKUP(CONCATENATE($F35,"_",BX$4),P1126_4,MATCH(BX$3,PAAC!$E$19:$M$19,0),0)),"",VLOOKUP(CONCATENATE($F35,"_",BX$4),P1126_4,MATCH(BX$3,PAAC!$E$19:$M$19,0),0)),"")</f>
        <v/>
      </c>
      <c r="BY35" s="129" t="str">
        <f>+IFERROR(IF(ISBLANK(VLOOKUP(CONCATENATE($F35,"_",BY$4),P1126_4,MATCH(BY$3,PAAC!$E$19:$M$19,0),0)),"",VLOOKUP(CONCATENATE($F35,"_",BY$4),P1126_4,MATCH(BY$3,PAAC!$E$19:$M$19,0),0)),"")</f>
        <v/>
      </c>
      <c r="BZ35" s="129" t="str">
        <f>+IFERROR(IF(ISBLANK(VLOOKUP(CONCATENATE($F35,"_",BZ$4),P1126_4,MATCH(BZ$3,PAAC!$E$19:$M$19,0),0)),"",VLOOKUP(CONCATENATE($F35,"_",BZ$4),P1126_4,MATCH(BZ$3,PAAC!$E$19:$M$19,0),0)),"")</f>
        <v/>
      </c>
      <c r="CA35" s="129" t="str">
        <f>+IFERROR(IF(ISBLANK(VLOOKUP(CONCATENATE($F35,"_",CA$4),P1126_4,MATCH(CA$3,PAAC!$E$19:$M$19,0),0)),"",VLOOKUP(CONCATENATE($F35,"_",CA$4),P1126_4,MATCH(CA$3,PAAC!$E$19:$M$19,0),0)),"")</f>
        <v/>
      </c>
      <c r="CB35" s="129" t="str">
        <f>+IFERROR(IF(ISBLANK(VLOOKUP(CONCATENATE($F35,"_",CB$4),P1126_4,MATCH(CB$3,PAAC!$E$19:$M$19,0),0)),"",VLOOKUP(CONCATENATE($F35,"_",CB$4),P1126_4,MATCH(CB$3,PAAC!$E$19:$M$19,0),0)),"")</f>
        <v/>
      </c>
      <c r="CC35" s="129" t="str">
        <f>+IFERROR(IF(ISBLANK(VLOOKUP(CONCATENATE($F35,"_",CC$4),P1126_4,MATCH(CC$3,PAAC!$E$19:$M$19,0),0)),"",VLOOKUP(CONCATENATE($F35,"_",CC$4),P1126_4,MATCH(CC$3,PAAC!$E$19:$M$19,0),0)),"")</f>
        <v/>
      </c>
      <c r="CD35" s="129" t="str">
        <f t="shared" si="11"/>
        <v/>
      </c>
      <c r="CE35" s="129" t="str">
        <f t="shared" si="3"/>
        <v/>
      </c>
      <c r="CF35" s="129" t="str">
        <f t="shared" si="4"/>
        <v/>
      </c>
      <c r="CG35" s="129" t="str">
        <f t="shared" si="5"/>
        <v/>
      </c>
      <c r="CH35" s="129" t="str">
        <f t="shared" si="6"/>
        <v/>
      </c>
      <c r="CI35" t="str">
        <f t="shared" si="31"/>
        <v>Cumple</v>
      </c>
      <c r="CJ35" t="str">
        <f t="shared" si="31"/>
        <v>Cumplido</v>
      </c>
      <c r="CK35" t="str">
        <f t="shared" si="31"/>
        <v>Adecuado</v>
      </c>
      <c r="CL35" t="str">
        <f t="shared" si="31"/>
        <v>Coherente</v>
      </c>
      <c r="CM35" t="str">
        <f t="shared" si="31"/>
        <v>Concuerda</v>
      </c>
      <c r="CN35" t="str">
        <f t="shared" si="31"/>
        <v>No aplica</v>
      </c>
      <c r="CO35" t="str">
        <f t="shared" si="31"/>
        <v>Relación directa</v>
      </c>
      <c r="CP35" t="str">
        <f t="shared" si="31"/>
        <v>Adecuado</v>
      </c>
      <c r="CQ35" t="str">
        <f t="shared" si="31"/>
        <v>Oportuna</v>
      </c>
      <c r="CR35" t="str">
        <f t="shared" si="31"/>
        <v>No aplica</v>
      </c>
      <c r="CS35" t="str">
        <f t="shared" si="32"/>
        <v>Bibiana Rodríguez González</v>
      </c>
      <c r="CT35" t="str">
        <f t="shared" si="32"/>
        <v>No aplica</v>
      </c>
      <c r="CU35" t="str">
        <f t="shared" si="32"/>
        <v>Satisfactorio</v>
      </c>
      <c r="CV35" t="str">
        <f t="shared" si="32"/>
        <v>Adecuado</v>
      </c>
      <c r="CW35" t="str">
        <f t="shared" si="32"/>
        <v>Coherente</v>
      </c>
      <c r="CX35" t="str">
        <f t="shared" si="32"/>
        <v>Concuerda</v>
      </c>
      <c r="CY35" t="str">
        <f t="shared" si="32"/>
        <v>No aplica</v>
      </c>
      <c r="CZ35" t="str">
        <f t="shared" si="32"/>
        <v>Relación directa</v>
      </c>
      <c r="DA35" t="str">
        <f t="shared" si="32"/>
        <v>Adecuado</v>
      </c>
      <c r="DB35" t="str">
        <f t="shared" si="32"/>
        <v>Oportuna</v>
      </c>
      <c r="DC35" t="str">
        <f t="shared" si="33"/>
        <v>No aplica</v>
      </c>
      <c r="DD35" t="str">
        <f t="shared" si="33"/>
        <v>Bibiana Rodríguez González</v>
      </c>
      <c r="DE35" t="e">
        <f t="shared" si="33"/>
        <v>#REF!</v>
      </c>
      <c r="DF35" t="e">
        <f t="shared" si="33"/>
        <v>#REF!</v>
      </c>
      <c r="DG35" t="e">
        <f t="shared" si="33"/>
        <v>#REF!</v>
      </c>
      <c r="DH35" t="e">
        <f t="shared" si="33"/>
        <v>#REF!</v>
      </c>
      <c r="DI35" t="e">
        <f t="shared" si="33"/>
        <v>#REF!</v>
      </c>
      <c r="DJ35" t="e">
        <f t="shared" si="33"/>
        <v>#REF!</v>
      </c>
      <c r="DK35" t="e">
        <f t="shared" si="33"/>
        <v>#REF!</v>
      </c>
      <c r="DL35" t="e">
        <f t="shared" si="33"/>
        <v>#REF!</v>
      </c>
      <c r="DM35" t="e">
        <f t="shared" si="34"/>
        <v>#REF!</v>
      </c>
      <c r="DN35" t="e">
        <f t="shared" si="34"/>
        <v>#REF!</v>
      </c>
      <c r="DO35" t="e">
        <f t="shared" si="34"/>
        <v>#REF!</v>
      </c>
      <c r="DP35" t="e">
        <f t="shared" si="34"/>
        <v>#REF!</v>
      </c>
      <c r="DQ35" t="e">
        <f t="shared" si="34"/>
        <v>#REF!</v>
      </c>
      <c r="DR35" t="e">
        <f t="shared" si="34"/>
        <v>#REF!</v>
      </c>
      <c r="DS35" t="e">
        <f t="shared" si="34"/>
        <v>#REF!</v>
      </c>
      <c r="DT35" t="e">
        <f t="shared" si="34"/>
        <v>#REF!</v>
      </c>
      <c r="DU35" t="e">
        <f t="shared" si="34"/>
        <v>#REF!</v>
      </c>
      <c r="DV35" t="e">
        <f t="shared" si="34"/>
        <v>#REF!</v>
      </c>
      <c r="DW35" t="e">
        <f t="shared" si="34"/>
        <v>#REF!</v>
      </c>
      <c r="DX35" t="e">
        <f t="shared" si="34"/>
        <v>#REF!</v>
      </c>
    </row>
    <row r="36" spans="1:128" x14ac:dyDescent="0.3">
      <c r="A36" s="423" t="str">
        <f t="shared" si="16"/>
        <v>48A</v>
      </c>
      <c r="B36" t="str">
        <f t="shared" si="17"/>
        <v>1_Dirección Distrital de Relaciones Internacionales</v>
      </c>
      <c r="C36">
        <f t="shared" si="8"/>
        <v>1</v>
      </c>
      <c r="D36" t="str">
        <f t="shared" si="0"/>
        <v>Dirección Distrital de Relaciones Internacionales</v>
      </c>
      <c r="E36" t="str">
        <f t="shared" si="1"/>
        <v>dri</v>
      </c>
      <c r="F36" s="208" t="str">
        <f>'Sub. Técnica'!D13</f>
        <v>48A</v>
      </c>
      <c r="G36" t="str">
        <f t="shared" si="30"/>
        <v>Suma</v>
      </c>
      <c r="H36" t="str">
        <f t="shared" si="30"/>
        <v>Número</v>
      </c>
      <c r="I36">
        <f t="shared" si="30"/>
        <v>12</v>
      </c>
      <c r="J36">
        <f t="shared" si="30"/>
        <v>18</v>
      </c>
      <c r="K36" t="str">
        <f>+IFERROR(VLOOKUP($F36,Subtecnica_1,MATCH(K$5,'Sub. Técnica'!$D$9:$V$9,0),0),"")</f>
        <v>Suma</v>
      </c>
      <c r="L36">
        <f>+IFERROR(VLOOKUP($F36,Subtecnica_1,MATCH(L$5,'Sub. Técnica'!$D$9:$V$9,0),0),"")</f>
        <v>5</v>
      </c>
      <c r="M36">
        <f t="shared" si="35"/>
        <v>0</v>
      </c>
      <c r="N36">
        <f>+IFERROR(VLOOKUP($F36,Subtecnica_1,MATCH(N$5,'Sub. Técnica'!$D$9:$V$9,0),0),"")</f>
        <v>0</v>
      </c>
      <c r="O36">
        <f>+IFERROR(VLOOKUP($F36,Subtecnica_1,MATCH(O$5,'Sub. Técnica'!$D$9:$V$9,0),0),"")</f>
        <v>0</v>
      </c>
      <c r="P36">
        <f>+IFERROR(VLOOKUP($F36,Subtecnica_1,MATCH(P$5,'Sub. Técnica'!$D$9:$V$9,0),0),"")</f>
        <v>0</v>
      </c>
      <c r="Q36">
        <f>+IFERROR(VLOOKUP($F36,Subtecnica_1,MATCH(Q$5,'Sub. Técnica'!$D$9:$V$9,0),0),"")</f>
        <v>0</v>
      </c>
      <c r="R36">
        <f>+IFERROR(VLOOKUP($F36,Subtecnica_1,MATCH(R$5,'Sub. Técnica'!$D$9:$V$9,0),0),"")</f>
        <v>0</v>
      </c>
      <c r="S36">
        <f>+IFERROR(VLOOKUP($F36,Subtecnica_1,MATCH(S$5,'Sub. Técnica'!$D$9:$V$9,0),0),"")</f>
        <v>5</v>
      </c>
      <c r="T36">
        <f>+IFERROR(VLOOKUP($F36,Subtecnica_1,MATCH(T$5,'Sub. Técnica'!$D$9:$V$9,0),0),"")</f>
        <v>5</v>
      </c>
      <c r="U36" t="str">
        <f>+IFERROR(VLOOKUP($F36,Subtecnica_1,MATCH(U$5,'Sub. Técnica'!$D$9:$V$9,0),0),"")</f>
        <v/>
      </c>
      <c r="V36" t="str">
        <f>+IFERROR(VLOOKUP($F36,Subtecnica_1,MATCH(V$5,'Sub. Técnica'!$D$9:$V$9,0),0),"")</f>
        <v>1. Análisis y evaluación de solicitudes o iniciativas de relacionamiento internacional
2. Ejecución de la acción de relacionamiento internacional</v>
      </c>
      <c r="W36" t="str">
        <f>+IFERROR(VLOOKUP($F36,Subtecnica_1,MATCH(W$5,'Sub. Técnica'!$D$9:$V$9,0),0),"")</f>
        <v/>
      </c>
      <c r="X36" t="str">
        <f>+IFERROR(VLOOKUP($F36,Subtecnica_1,MATCH(X$5,'Sub. Técnica'!$D$9:$V$9,0),0),"")</f>
        <v xml:space="preserve">Informe de Gestión de las diferentes acciones a su cierre y según corresponda diferentes documentos generados de acuerdo con el desarrollo de la misma </v>
      </c>
      <c r="Y36">
        <f>+IFERROR(IF(ISBLANK(VLOOKUP(CONCATENATE($F36,"_",Y$4),Subtecnica_2,MATCH(Y$3,'Sub. Técnica'!$F$26:$O$26,0),0)),"",VLOOKUP(CONCATENATE($F36,"_",Y$4),Subtecnica_2,MATCH(Y$3,'Sub. Técnica'!$F$26:$O$26,0),0)),"")</f>
        <v>0</v>
      </c>
      <c r="Z36" t="str">
        <f>+IFERROR(IF(ISBLANK(VLOOKUP(CONCATENATE($F36,"_",Z$4),Subtecnica_2,MATCH(Z$3,'Sub. Técnica'!$F$26:$O$26,0),0)),"",VLOOKUP(CONCATENATE($F36,"_",Z$4),Subtecnica_2,MATCH(Z$3,'Sub. Técnica'!$F$26:$O$26,0),0)),"")</f>
        <v/>
      </c>
      <c r="AA36" t="str">
        <f>+IFERROR(IF(ISBLANK(VLOOKUP(CONCATENATE($F36,"_",AA$4),Subtecnica_2,MATCH(AA$3,'Sub. Técnica'!$F$26:$O$26,0),0)),"",VLOOKUP(CONCATENATE($F36,"_",AA$4),Subtecnica_2,MATCH(AA$3,'Sub. Técnica'!$F$26:$O$26,0),0)),"")</f>
        <v xml:space="preserve">Las acciones específicas dan inicio en el mes de febrero
</v>
      </c>
      <c r="AB36" t="str">
        <f>+IFERROR(IF(ISBLANK(VLOOKUP(CONCATENATE($F36,"_",AB$4),Subtecnica_2,MATCH(AB$3,'Sub. Técnica'!$F$26:$O$26,0),0)),"",VLOOKUP(CONCATENATE($F36,"_",AB$4),Subtecnica_2,MATCH(AB$3,'Sub. Técnica'!$F$26:$O$26,0),0)),"")</f>
        <v>N/A</v>
      </c>
      <c r="AC36" t="str">
        <f>+IFERROR(IF(ISBLANK(VLOOKUP(CONCATENATE($F36,"_",AC$4),Subtecnica_2,MATCH(AC$3,'Sub. Técnica'!$F$26:$O$26,0),0)),"",VLOOKUP(CONCATENATE($F36,"_",AC$4),Subtecnica_2,MATCH(AC$3,'Sub. Técnica'!$F$26:$O$26,0),0)),"")</f>
        <v>N/A</v>
      </c>
      <c r="AD36">
        <f>+IFERROR(IF(ISBLANK(VLOOKUP(CONCATENATE($F36,"_",AD$4),Subtecnica_2,MATCH(AD$3,'Sub. Técnica'!$F$26:$O$26,0),0)),"",VLOOKUP(CONCATENATE($F36,"_",AD$4),Subtecnica_2,MATCH(AD$3,'Sub. Técnica'!$F$26:$O$26,0),0)),"")</f>
        <v>0</v>
      </c>
      <c r="AE36" t="str">
        <f>+IFERROR(IF(ISBLANK(VLOOKUP(CONCATENATE($F36,"_",AE$4),Subtecnica_2,MATCH(AE$3,'Sub. Técnica'!$F$26:$O$26,0),0)),"",VLOOKUP(CONCATENATE($F36,"_",AE$4),Subtecnica_2,MATCH(AE$3,'Sub. Técnica'!$F$26:$O$26,0),0)),"")</f>
        <v/>
      </c>
      <c r="AF36" t="str">
        <f>+IFERROR(IF(ISBLANK(VLOOKUP(CONCATENATE($F36,"_",AF$4),Subtecnica_2,MATCH(AF$3,'Sub. Técnica'!$F$26:$O$26,0),0)),"",VLOOKUP(CONCATENATE($F36,"_",AF$4),Subtecnica_2,MATCH(AF$3,'Sub. Técnica'!$F$26:$O$26,0),0)),"")</f>
        <v>A continuación se realcionan los avances de las siguientes acciones:
1. Reunión Alcaldesa de Bogota – Alcaldesa de Barcelona – PlayGround Media:
Con el fin de abrir  una relación Bogota-Barcelona es de gran interés para esta administración ya que pretende apostar  por una colaboración en varios frentes con esta ciudad,PlayGround un medio de comunicación virtual internacional con intermediación de la DDRI, invita a las alcaldesas de estas dos ciudades, propiciando la ocasión para este diálogo, a grabar un documento audiovisual desde ambos puntos de vista: Bogota y Barcelona, para generar un video viral de internet.
Para esto la DDRI realizó la siguiente gestión:
- Gestion de la invitación
- Investigacion sobre la pertinencia
- Elaboracion del concepto
- Coordinación interinstitucional de la aprobacion del documento requerido por el medio para el uso de las imágenes.
- Coordinación interinstitucional para la realización de un ensayo y la recepción del equipo de playGround en despacho.
- Preparación de la ficha para la alcaldesa. 
Esta acción se reportará en el mes de junio con la consolidación del informe final de la acción.
2. Participación del Distrito en la celebración de  fiesta tradicional Tu Bishvat Comunidad judia colegio hebreo 
Se Recibió invitación de la Embajada de isarel para acompañarlos en la celebración de su fiesta tradicional Tu Bishvat que conmemora el solsticio y llegada de la primavera en un festejo que celebra la naturaleza y el cuidado del medio ambiente.
Se acompañó a la comunidad judía de bogota en su celebración tradicional. Apoyando el mensaje ambiental y sostenible de dicha fecha. Incentivando estas actividades en los colegios de la ciudad para educar a las generaciones futuras sobre esta urgente consideración con el planeta. Para esto la DDRI realizó:
- Gestión de la invitación ante despacho de la alcaldesa y despacho de la Secretaría de Ambiente.
- Coordinación y confirmación de los asistentes ante la embajada de Israel.
-  Acompañamiento y presencia en el evento.
Informe por consolidar y cierre en el mes de junio</v>
      </c>
      <c r="AG36" t="str">
        <f>+IFERROR(IF(ISBLANK(VLOOKUP(CONCATENATE($F36,"_",AG$4),Subtecnica_2,MATCH(AG$3,'Sub. Técnica'!$F$26:$O$26,0),0)),"",VLOOKUP(CONCATENATE($F36,"_",AG$4),Subtecnica_2,MATCH(AG$3,'Sub. Técnica'!$F$26:$O$26,0),0)),"")</f>
        <v>No se reportaron retrasos ni dificultades en la gestión</v>
      </c>
      <c r="AH36" t="str">
        <f>+IFERROR(IF(ISBLANK(VLOOKUP(CONCATENATE($F36,"_",AH$4),Subtecnica_2,MATCH(AH$3,'Sub. Técnica'!$F$26:$O$26,0),0)),"",VLOOKUP(CONCATENATE($F36,"_",AH$4),Subtecnica_2,MATCH(AH$3,'Sub. Técnica'!$F$26:$O$26,0),0)),"")</f>
        <v>1. Reunión Alcaldesa de Bogota – Alcaldesa de Barcelona – PlayGround Media
Participar en la ocasión propuesta por PlayGround abrió el camino a una comunicación personal entre las alcaldesas de Bogotáy Barcelona de manera agil y fluida. En el aspecto de difusión, el video tuvo buena acogida en internet, obtuvo un nivel de exposición importante sobre todo entre el publico joven. A grandes rasgos el ejercico fue positivo
2. Participación del Distrito en la celebración de  fiesta tradicional Tu Bishvat Comunidad judia colegio hebreo.
Se encuentra en Isreal un aliado estratégico para el logro del objetivo número dos del Plan de desarrollo, logrando que el embajador expresarA su deseo de apoyar a la alcaldesa en los temas ambientales para la ciudad de Bogotá.</v>
      </c>
      <c r="AI36">
        <f>+IFERROR(IF(ISBLANK(VLOOKUP(CONCATENATE($F36,"_",AI$4),Subtecnica_2,MATCH(AI$3,'Sub. Técnica'!$F$26:$O$26,0),0)),"",VLOOKUP(CONCATENATE($F36,"_",AI$4),Subtecnica_2,MATCH(AI$3,'Sub. Técnica'!$F$26:$O$26,0),0)),"")</f>
        <v>0</v>
      </c>
      <c r="AJ36" t="str">
        <f>+IFERROR(IF(ISBLANK(VLOOKUP(CONCATENATE($F36,"_",AJ$4),Subtecnica_2,MATCH(AJ$3,'Sub. Técnica'!$F$26:$O$26,0),0)),"",VLOOKUP(CONCATENATE($F36,"_",AJ$4),Subtecnica_2,MATCH(AJ$3,'Sub. Técnica'!$F$26:$O$26,0),0)),"")</f>
        <v/>
      </c>
      <c r="AK36" t="str">
        <f>+IFERROR(IF(ISBLANK(VLOOKUP(CONCATENATE($F36,"_",AK$4),Subtecnica_2,MATCH(AK$3,'Sub. Técnica'!$F$26:$O$26,0),0)),"",VLOOKUP(CONCATENATE($F36,"_",AK$4),Subtecnica_2,MATCH(AK$3,'Sub. Técnica'!$F$26:$O$26,0),0)),"")</f>
        <v>Para el mes de marzo se reportan la siguiente acción:
1. Postulación al Steerring Comitee de C40:
C40,  organización internacional de ciudades comprometidas en la lucha contra el cambio climático y la generación de una acción urbana que reduzca las emisiones de gases de efecto de invernadero y los riesgos climáticos, invitó a la Alcaldesa Claudia López a ser parte del Comité Directivo de esta red para la región de América Latina.
El periodo de postulaciones y elección se dio entre se concretó en marzo de 2020.
 Gestión realizada por la DDRI
Estuvo a cargo de la DDRI el acompañamiento de la postulación de la Alcaldesa Claudia López al Comité Directivo de C40. Esto incluyó:
•Análisis de la oportunidad y estrategia de ser parte o no del Comité Directivo de C40.
•Elaboración de la carta de interés para la postulación de la Alcadesa Claudia López.
•Interlocución con C40 en el proceso de postulación y elección de la Alcaldesa Claudia López en el Comité Directivo de C40.
Informe final para consolidación y cierre en el mes de junio</v>
      </c>
      <c r="AL36" t="str">
        <f>+IFERROR(IF(ISBLANK(VLOOKUP(CONCATENATE($F36,"_",AL$4),Subtecnica_2,MATCH(AL$3,'Sub. Técnica'!$F$26:$O$26,0),0)),"",VLOOKUP(CONCATENATE($F36,"_",AL$4),Subtecnica_2,MATCH(AL$3,'Sub. Técnica'!$F$26:$O$26,0),0)),"")</f>
        <v>No se reportaron retrasos ni dificultades en la gestión</v>
      </c>
      <c r="AM36" t="str">
        <f>+IFERROR(IF(ISBLANK(VLOOKUP(CONCATENATE($F36,"_",AM$4),Subtecnica_2,MATCH(AM$3,'Sub. Técnica'!$F$26:$O$26,0),0)),"",VLOOKUP(CONCATENATE($F36,"_",AM$4),Subtecnica_2,MATCH(AM$3,'Sub. Técnica'!$F$26:$O$26,0),0)),"")</f>
        <v>1. Postulación al Steerring Comitee de C40:
El principal resultado de este relacionamiento estratégico internacional fue la elección de la Alcaldesa Claudia López como Vicepresidente del Comité Directivo de C40 para la región de América Latina. Ser miembro de este órgano rector es una herramienta de importante relevancia pues la ciudad de Bogotá podrá participar en la dirección estratégica de esta red mundial que representa a más de 700 millones de ciudadanos y un cuarto de la economía mundial.
Asimismo, este es un importante reconocimiento al compromiso de la ciudad en la lucha contra el cambio climático. También, este nombramiento implica una responsabilidad y desafío para la ciudad en ser ejemplo a nivel mundial por sus acciones sostenibles y resilientes, siendo una firme defensora del Acuerdo de París</v>
      </c>
      <c r="AN36">
        <f>+IFERROR(IF(ISBLANK(VLOOKUP(CONCATENATE($F36,"_",AN$4),Subtecnica_2,MATCH(AN$3,'Sub. Técnica'!$F$26:$O$26,0),0)),"",VLOOKUP(CONCATENATE($F36,"_",AN$4),Subtecnica_2,MATCH(AN$3,'Sub. Técnica'!$F$26:$O$26,0),0)),"")</f>
        <v>0</v>
      </c>
      <c r="AO36" t="str">
        <f>+IFERROR(IF(ISBLANK(VLOOKUP(CONCATENATE($F36,"_",AO$4),Subtecnica_2,MATCH(AO$3,'Sub. Técnica'!$F$26:$O$26,0),0)),"",VLOOKUP(CONCATENATE($F36,"_",AO$4),Subtecnica_2,MATCH(AO$3,'Sub. Técnica'!$F$26:$O$26,0),0)),"")</f>
        <v/>
      </c>
      <c r="AP36" t="str">
        <f>+IFERROR(IF(ISBLANK(VLOOKUP(CONCATENATE($F36,"_",AP$4),Subtecnica_2,MATCH(AP$3,'Sub. Técnica'!$F$26:$O$26,0),0)),"",VLOOKUP(CONCATENATE($F36,"_",AP$4),Subtecnica_2,MATCH(AP$3,'Sub. Técnica'!$F$26:$O$26,0),0)),"")</f>
        <v>Se avanzó en la siguiente acció:
1. Participación en Webinar de Metrópolis: "Internacionalización y espacios metropolitanos"
El 3 de abril de 2020, se realizó el seminario "Internacionalización y espacios metropolitanos". Organizado por Metrópolis en colaboración con la Alianza Eurolatinoamericana de Cooperación entre Ciudades AL-Las.
A la reunión fueron invitadas las oficinas de relaciones internacionales de Bogotá, Ciudad de México y el Área Metropolitana de Barcelona.
El evento estuvo dirigido a funcionarios de los gobiernos locales (oficinas de relaciones internacionales), tomadores de decisiones, estudiantes e investigadores de relaciones internacionales.
Gestión realizada por la DDRI:
Estuvo a cargo de la DDRI la preparación y realización de la presentación de la Estrategia de Internacional de la ciudad de Bogotá en el seminario web.
Estrategia divulgación en redes sociales de la participación de la Dirección en esta reunión internacional.
Informe en consolidación para reprotar en junio.</v>
      </c>
      <c r="AQ36" t="str">
        <f>+IFERROR(IF(ISBLANK(VLOOKUP(CONCATENATE($F36,"_",AQ$4),Subtecnica_2,MATCH(AQ$3,'Sub. Técnica'!$F$26:$O$26,0),0)),"",VLOOKUP(CONCATENATE($F36,"_",AQ$4),Subtecnica_2,MATCH(AQ$3,'Sub. Técnica'!$F$26:$O$26,0),0)),"")</f>
        <v>No se reportaron retrasos ni dificultades en la gestión</v>
      </c>
      <c r="AR36" t="str">
        <f>+IFERROR(IF(ISBLANK(VLOOKUP(CONCATENATE($F36,"_",AR$4),Subtecnica_2,MATCH(AR$3,'Sub. Técnica'!$F$26:$O$26,0),0)),"",VLOOKUP(CONCATENATE($F36,"_",AR$4),Subtecnica_2,MATCH(AR$3,'Sub. Técnica'!$F$26:$O$26,0),0)),"")</f>
        <v>1. Participación en Webinar de Metrópolis: "Internacionalización y espacios metropolitanos"
El seminario web fue una oportunidad para enfatizar el liderazgo de la ciudad de Bogotá en su accionar internacional a nivel regional. Esto, teniendo en cuenta que la sesión web reunió a funcionarios públicos, profesionales e investigadores de 16 espacios urbanos pertenecientes a Metrópolis: Ciudad de Barcelona y Área Metropolitana, Belo Horizonte, Bruselas, Buenos Aires, Ciudad de México, Córdoba, Guadalajara, La Paz, Madrid, Medellín, Montevideo, Porto Alegre, San Salvador y Valle de Aburrá.
Asimismo, este espacio le ha brindado a la Alcaldía de Bogotá una oportunidad única para aprender sobre lecciones y experiencias aprendidas de otros gobiernos locales en sus estrategias de internacionalización.</v>
      </c>
      <c r="AS36">
        <f>+IFERROR(IF(ISBLANK(VLOOKUP(CONCATENATE($F36,"_",AS$4),Subtecnica_2,MATCH(AS$3,'Sub. Técnica'!$F$26:$O$26,0),0)),"",VLOOKUP(CONCATENATE($F36,"_",AS$4),Subtecnica_2,MATCH(AS$3,'Sub. Técnica'!$F$26:$O$26,0),0)),"")</f>
        <v>0</v>
      </c>
      <c r="AT36" t="str">
        <f>+IFERROR(IF(ISBLANK(VLOOKUP(CONCATENATE($F36,"_",AT$4),Subtecnica_2,MATCH(AT$3,'Sub. Técnica'!$F$26:$O$26,0),0)),"",VLOOKUP(CONCATENATE($F36,"_",AT$4),Subtecnica_2,MATCH(AT$3,'Sub. Técnica'!$F$26:$O$26,0),0)),"")</f>
        <v/>
      </c>
      <c r="AU36" t="str">
        <f>+IFERROR(IF(ISBLANK(VLOOKUP(CONCATENATE($F36,"_",AU$4),Subtecnica_2,MATCH(AU$3,'Sub. Técnica'!$F$26:$O$26,0),0)),"",VLOOKUP(CONCATENATE($F36,"_",AU$4),Subtecnica_2,MATCH(AU$3,'Sub. Técnica'!$F$26:$O$26,0),0)),"")</f>
        <v>A continuación se reportan avances de la siguiente acción:
1. Conversaciones de alto nivel entre alcaldes de C40 para discutir gestión a la crisis COVID-19:
Desde el 28 de marzo hasta el 18 de mayo se han realizado 4 llamadas entre Alcaldes donde se trataron diversos temas dentro de los que se encuentran: cómo las ciudades están enfrentando la pandemia, la recuperación económica de las ciudades, y sobre la reapertura gradual de las ciudades.
Gestión realizada por la DDRI:
28 de marzo 2020 Reunión entre alcaldes para discutir cómo las ciudades están enfrentando la pandemia
*Participación a cargo de la DDRI
3 de abril 2020 Reunión entre alcaldes para discutir cómo las ciudades están enfrentando la pandemia.
*Participación de la Secretaría Distrital de Desarrollo Económico
15 de abril 2020 Llamada con el Alcalde de Los Ángeles y el Alcalde de Milán y  presentación del Profesor Vernon Lee, Director de Enfermedades Contagiosas de Singapur. 
*Participación de la Secretaría de Ambiente.
6 de mayo 2020 WebinarC40 sobre la reapertura gradual de las ciudades
Informe final para consolidación y cierre en el mes de junio</v>
      </c>
      <c r="AV36" t="str">
        <f>+IFERROR(IF(ISBLANK(VLOOKUP(CONCATENATE($F36,"_",AV$4),Subtecnica_2,MATCH(AV$3,'Sub. Técnica'!$F$26:$O$26,0),0)),"",VLOOKUP(CONCATENATE($F36,"_",AV$4),Subtecnica_2,MATCH(AV$3,'Sub. Técnica'!$F$26:$O$26,0),0)),"")</f>
        <v>No se reportaron retrasos ni dificultades en la gestión</v>
      </c>
      <c r="AW36" t="str">
        <f>+IFERROR(IF(ISBLANK(VLOOKUP(CONCATENATE($F36,"_",AW$4),Subtecnica_2,MATCH(AW$3,'Sub. Técnica'!$F$26:$O$26,0),0)),"",VLOOKUP(CONCATENATE($F36,"_",AW$4),Subtecnica_2,MATCH(AW$3,'Sub. Técnica'!$F$26:$O$26,0),0)),"")</f>
        <v>Estas llamadas le han brindado a la administración distrital una oportunidad única para aprender sobre lecciones y experiencias aprendidas de numerosos gobiernos locales del mundo, fortaleciendo el proceso de toma de decisiones en la atención a la pandemia por el COVID19.
Teniendo en cuenta la participación de la Alcaldesa en el Comité Directivo de C40 y la participación de la Alcaldía en estas llamadas, le ha permitido a la Administración Distrital posicionarse en el escenario internacional como ciudad líder en la protección al medio ambiente, durante y post crisis COVID19.</v>
      </c>
      <c r="AX36">
        <f>+IFERROR(IF(ISBLANK(VLOOKUP(CONCATENATE($F36,"_",AX$4),Subtecnica_2,MATCH(AX$3,'Sub. Técnica'!$F$26:$O$26,0),0)),"",VLOOKUP(CONCATENATE($F36,"_",AX$4),Subtecnica_2,MATCH(AX$3,'Sub. Técnica'!$F$26:$O$26,0),0)),"")</f>
        <v>5</v>
      </c>
      <c r="AY36" t="str">
        <f>+IFERROR(IF(ISBLANK(VLOOKUP(CONCATENATE($F36,"_",AY$4),Subtecnica_2,MATCH(AY$3,'Sub. Técnica'!$F$26:$O$26,0),0)),"",VLOOKUP(CONCATENATE($F36,"_",AY$4),Subtecnica_2,MATCH(AY$3,'Sub. Técnica'!$F$26:$O$26,0),0)),"")</f>
        <v/>
      </c>
      <c r="AZ36" t="str">
        <f>+IFERROR(IF(ISBLANK(VLOOKUP(CONCATENATE($F36,"_",AZ$4),Subtecnica_2,MATCH(AZ$3,'Sub. Técnica'!$F$26:$O$26,0),0)),"",VLOOKUP(CONCATENATE($F36,"_",AZ$4),Subtecnica_2,MATCH(AZ$3,'Sub. Técnica'!$F$26:$O$26,0),0)),"")</f>
        <v>Para el mes de junio se consolidó el informe de gestión final de las acciones de relacionamiento adelantadas en los meses anteriores, las cuales se relacionan a continuación:
1. Reunión Alcaldesa de Bogota – Alcaldesa de Barcelona – PlayGround Media
2. Participación del Distrito en la celebración de  fiesta tradicional Tu Bishvat Comunidad judia colegio hebreo
3. Postulación al Steerring Comitee de C40
4. Participación en Webinar de Metrópolis
5. Conversaciones de alto nivel entre alcaldes de C40 para discutir gestión a la crisis COVID-19</v>
      </c>
      <c r="BA36" t="str">
        <f>+IFERROR(IF(ISBLANK(VLOOKUP(CONCATENATE($F36,"_",BA$4),Subtecnica_2,MATCH(BA$3,'Sub. Técnica'!$F$26:$O$26,0),0)),"",VLOOKUP(CONCATENATE($F36,"_",BA$4),Subtecnica_2,MATCH(BA$3,'Sub. Técnica'!$F$26:$O$26,0),0)),"")</f>
        <v>No se reportaron retrasos ni dificultades en la gestión</v>
      </c>
      <c r="BB36" t="str">
        <f>+IFERROR(IF(ISBLANK(VLOOKUP(CONCATENATE($F36,"_",BB$4),Subtecnica_2,MATCH(BB$3,'Sub. Técnica'!$F$26:$O$26,0),0)),"",VLOOKUP(CONCATENATE($F36,"_",BB$4),Subtecnica_2,MATCH(BB$3,'Sub. Técnica'!$F$26:$O$26,0),0)),"")</f>
        <v>Beneficios reportados en los meses anteriores.</v>
      </c>
      <c r="BC36">
        <f t="shared" si="10"/>
        <v>5</v>
      </c>
      <c r="BD36">
        <f t="shared" si="10"/>
        <v>0</v>
      </c>
      <c r="BE36" s="129" t="str">
        <f>+IFERROR(IF(ISBLANK(VLOOKUP(CONCATENATE($F36,"_",BE$4),P1126_4,MATCH(BE$3,PAAC!$E$19:$M$19,0),0)),"",VLOOKUP(CONCATENATE($F36,"_",BE$4),P1126_4,MATCH(BE$3,PAAC!$E$19:$M$19,0),0)),"")</f>
        <v/>
      </c>
      <c r="BF36" s="129" t="str">
        <f>+IFERROR(IF(ISBLANK(VLOOKUP(CONCATENATE($F36,"_",BF$4),P1126_4,MATCH(BF$3,PAAC!$E$19:$M$19,0),0)),"",VLOOKUP(CONCATENATE($F36,"_",BF$4),P1126_4,MATCH(BF$3,PAAC!$E$19:$M$19,0),0)),"")</f>
        <v/>
      </c>
      <c r="BG36" s="129" t="str">
        <f>+IFERROR(IF(ISBLANK(VLOOKUP(CONCATENATE($F36,"_",BG$4),P1126_4,MATCH(BG$3,PAAC!$E$19:$M$19,0),0)),"",VLOOKUP(CONCATENATE($F36,"_",BG$4),P1126_4,MATCH(BG$3,PAAC!$E$19:$M$19,0),0)),"")</f>
        <v/>
      </c>
      <c r="BH36" s="129" t="str">
        <f>+IFERROR(IF(ISBLANK(VLOOKUP(CONCATENATE($F36,"_",BH$4),P1126_4,MATCH(BH$3,PAAC!$E$19:$M$19,0),0)),"",VLOOKUP(CONCATENATE($F36,"_",BH$4),P1126_4,MATCH(BH$3,PAAC!$E$19:$M$19,0),0)),"")</f>
        <v/>
      </c>
      <c r="BI36" s="129" t="str">
        <f>+IFERROR(IF(ISBLANK(VLOOKUP(CONCATENATE($F36,"_",BI$4),P1126_4,MATCH(BI$3,PAAC!$E$19:$M$19,0),0)),"",VLOOKUP(CONCATENATE($F36,"_",BI$4),P1126_4,MATCH(BI$3,PAAC!$E$19:$M$19,0),0)),"")</f>
        <v/>
      </c>
      <c r="BJ36" s="129" t="str">
        <f>+IFERROR(IF(ISBLANK(VLOOKUP(CONCATENATE($F36,"_",BJ$4),P1126_4,MATCH(BJ$3,PAAC!$E$19:$M$19,0),0)),"",VLOOKUP(CONCATENATE($F36,"_",BJ$4),P1126_4,MATCH(BJ$3,PAAC!$E$19:$M$19,0),0)),"")</f>
        <v/>
      </c>
      <c r="BK36" s="129" t="str">
        <f>+IFERROR(IF(ISBLANK(VLOOKUP(CONCATENATE($F36,"_",BK$4),P1126_4,MATCH(BK$3,PAAC!$E$19:$M$19,0),0)),"",VLOOKUP(CONCATENATE($F36,"_",BK$4),P1126_4,MATCH(BK$3,PAAC!$E$19:$M$19,0),0)),"")</f>
        <v/>
      </c>
      <c r="BL36" s="129" t="str">
        <f>+IFERROR(IF(ISBLANK(VLOOKUP(CONCATENATE($F36,"_",BL$4),P1126_4,MATCH(BL$3,PAAC!$E$19:$M$19,0),0)),"",VLOOKUP(CONCATENATE($F36,"_",BL$4),P1126_4,MATCH(BL$3,PAAC!$E$19:$M$19,0),0)),"")</f>
        <v/>
      </c>
      <c r="BM36" s="129" t="str">
        <f>+IFERROR(IF(ISBLANK(VLOOKUP(CONCATENATE($F36,"_",BM$4),P1126_4,MATCH(BM$3,PAAC!$E$19:$M$19,0),0)),"",VLOOKUP(CONCATENATE($F36,"_",BM$4),P1126_4,MATCH(BM$3,PAAC!$E$19:$M$19,0),0)),"")</f>
        <v/>
      </c>
      <c r="BN36" s="129" t="str">
        <f>+IFERROR(IF(ISBLANK(VLOOKUP(CONCATENATE($F36,"_",BN$4),P1126_4,MATCH(BN$3,PAAC!$E$19:$M$19,0),0)),"",VLOOKUP(CONCATENATE($F36,"_",BN$4),P1126_4,MATCH(BN$3,PAAC!$E$19:$M$19,0),0)),"")</f>
        <v/>
      </c>
      <c r="BO36" s="129" t="str">
        <f>+IFERROR(IF(ISBLANK(VLOOKUP(CONCATENATE($F36,"_",BO$4),P1126_4,MATCH(BO$3,PAAC!$E$19:$M$19,0),0)),"",VLOOKUP(CONCATENATE($F36,"_",BO$4),P1126_4,MATCH(BO$3,PAAC!$E$19:$M$19,0),0)),"")</f>
        <v/>
      </c>
      <c r="BP36" s="129" t="str">
        <f>+IFERROR(IF(ISBLANK(VLOOKUP(CONCATENATE($F36,"_",BP$4),P1126_4,MATCH(BP$3,PAAC!$E$19:$M$19,0),0)),"",VLOOKUP(CONCATENATE($F36,"_",BP$4),P1126_4,MATCH(BP$3,PAAC!$E$19:$M$19,0),0)),"")</f>
        <v/>
      </c>
      <c r="BQ36" s="129" t="str">
        <f>+IFERROR(IF(ISBLANK(VLOOKUP(CONCATENATE($F36,"_",BQ$4),P1126_4,MATCH(BQ$3,PAAC!$E$19:$M$19,0),0)),"",VLOOKUP(CONCATENATE($F36,"_",BQ$4),P1126_4,MATCH(BQ$3,PAAC!$E$19:$M$19,0),0)),"")</f>
        <v/>
      </c>
      <c r="BR36" s="129" t="str">
        <f>+IFERROR(IF(ISBLANK(VLOOKUP(CONCATENATE($F36,"_",BR$4),P1126_4,MATCH(BR$3,PAAC!$E$19:$M$19,0),0)),"",VLOOKUP(CONCATENATE($F36,"_",BR$4),P1126_4,MATCH(BR$3,PAAC!$E$19:$M$19,0),0)),"")</f>
        <v/>
      </c>
      <c r="BS36" s="129" t="str">
        <f>+IFERROR(IF(ISBLANK(VLOOKUP(CONCATENATE($F36,"_",BS$4),P1126_4,MATCH(BS$3,PAAC!$E$19:$M$19,0),0)),"",VLOOKUP(CONCATENATE($F36,"_",BS$4),P1126_4,MATCH(BS$3,PAAC!$E$19:$M$19,0),0)),"")</f>
        <v/>
      </c>
      <c r="BT36" s="129" t="str">
        <f>+IFERROR(IF(ISBLANK(VLOOKUP(CONCATENATE($F36,"_",BT$4),P1126_4,MATCH(BT$3,PAAC!$E$19:$M$19,0),0)),"",VLOOKUP(CONCATENATE($F36,"_",BT$4),P1126_4,MATCH(BT$3,PAAC!$E$19:$M$19,0),0)),"")</f>
        <v/>
      </c>
      <c r="BU36" s="129" t="str">
        <f>+IFERROR(IF(ISBLANK(VLOOKUP(CONCATENATE($F36,"_",BU$4),P1126_4,MATCH(BU$3,PAAC!$E$19:$M$19,0),0)),"",VLOOKUP(CONCATENATE($F36,"_",BU$4),P1126_4,MATCH(BU$3,PAAC!$E$19:$M$19,0),0)),"")</f>
        <v/>
      </c>
      <c r="BV36" s="129" t="str">
        <f>+IFERROR(IF(ISBLANK(VLOOKUP(CONCATENATE($F36,"_",BV$4),P1126_4,MATCH(BV$3,PAAC!$E$19:$M$19,0),0)),"",VLOOKUP(CONCATENATE($F36,"_",BV$4),P1126_4,MATCH(BV$3,PAAC!$E$19:$M$19,0),0)),"")</f>
        <v/>
      </c>
      <c r="BW36" s="129" t="str">
        <f>+IFERROR(IF(ISBLANK(VLOOKUP(CONCATENATE($F36,"_",BW$4),P1126_4,MATCH(BW$3,PAAC!$E$19:$M$19,0),0)),"",VLOOKUP(CONCATENATE($F36,"_",BW$4),P1126_4,MATCH(BW$3,PAAC!$E$19:$M$19,0),0)),"")</f>
        <v/>
      </c>
      <c r="BX36" s="129" t="str">
        <f>+IFERROR(IF(ISBLANK(VLOOKUP(CONCATENATE($F36,"_",BX$4),P1126_4,MATCH(BX$3,PAAC!$E$19:$M$19,0),0)),"",VLOOKUP(CONCATENATE($F36,"_",BX$4),P1126_4,MATCH(BX$3,PAAC!$E$19:$M$19,0),0)),"")</f>
        <v/>
      </c>
      <c r="BY36" s="129" t="str">
        <f>+IFERROR(IF(ISBLANK(VLOOKUP(CONCATENATE($F36,"_",BY$4),P1126_4,MATCH(BY$3,PAAC!$E$19:$M$19,0),0)),"",VLOOKUP(CONCATENATE($F36,"_",BY$4),P1126_4,MATCH(BY$3,PAAC!$E$19:$M$19,0),0)),"")</f>
        <v/>
      </c>
      <c r="BZ36" s="129" t="str">
        <f>+IFERROR(IF(ISBLANK(VLOOKUP(CONCATENATE($F36,"_",BZ$4),P1126_4,MATCH(BZ$3,PAAC!$E$19:$M$19,0),0)),"",VLOOKUP(CONCATENATE($F36,"_",BZ$4),P1126_4,MATCH(BZ$3,PAAC!$E$19:$M$19,0),0)),"")</f>
        <v/>
      </c>
      <c r="CA36" s="129" t="str">
        <f>+IFERROR(IF(ISBLANK(VLOOKUP(CONCATENATE($F36,"_",CA$4),P1126_4,MATCH(CA$3,PAAC!$E$19:$M$19,0),0)),"",VLOOKUP(CONCATENATE($F36,"_",CA$4),P1126_4,MATCH(CA$3,PAAC!$E$19:$M$19,0),0)),"")</f>
        <v/>
      </c>
      <c r="CB36" s="129" t="str">
        <f>+IFERROR(IF(ISBLANK(VLOOKUP(CONCATENATE($F36,"_",CB$4),P1126_4,MATCH(CB$3,PAAC!$E$19:$M$19,0),0)),"",VLOOKUP(CONCATENATE($F36,"_",CB$4),P1126_4,MATCH(CB$3,PAAC!$E$19:$M$19,0),0)),"")</f>
        <v/>
      </c>
      <c r="CC36" s="129" t="str">
        <f>+IFERROR(IF(ISBLANK(VLOOKUP(CONCATENATE($F36,"_",CC$4),P1126_4,MATCH(CC$3,PAAC!$E$19:$M$19,0),0)),"",VLOOKUP(CONCATENATE($F36,"_",CC$4),P1126_4,MATCH(CC$3,PAAC!$E$19:$M$19,0),0)),"")</f>
        <v/>
      </c>
      <c r="CD36" s="129" t="str">
        <f t="shared" si="11"/>
        <v/>
      </c>
      <c r="CE36" s="129" t="str">
        <f t="shared" si="3"/>
        <v/>
      </c>
      <c r="CF36" s="129" t="str">
        <f t="shared" si="4"/>
        <v/>
      </c>
      <c r="CG36" s="129" t="str">
        <f t="shared" si="5"/>
        <v/>
      </c>
      <c r="CH36" s="129" t="str">
        <f t="shared" si="6"/>
        <v/>
      </c>
      <c r="CI36" t="str">
        <f t="shared" si="31"/>
        <v>Cumple</v>
      </c>
      <c r="CJ36" t="str">
        <f t="shared" si="31"/>
        <v>No programó</v>
      </c>
      <c r="CK36" t="str">
        <f t="shared" si="31"/>
        <v>Adecuado</v>
      </c>
      <c r="CL36" t="str">
        <f t="shared" si="31"/>
        <v>Coherente</v>
      </c>
      <c r="CM36" t="str">
        <f t="shared" si="31"/>
        <v>No aplica</v>
      </c>
      <c r="CN36" t="str">
        <f t="shared" si="31"/>
        <v>Concuerda</v>
      </c>
      <c r="CO36">
        <f t="shared" si="31"/>
        <v>0</v>
      </c>
      <c r="CP36" t="str">
        <f t="shared" si="31"/>
        <v>Adecuado</v>
      </c>
      <c r="CQ36" t="str">
        <f t="shared" si="31"/>
        <v>Oportuna</v>
      </c>
      <c r="CR36" t="str">
        <f t="shared" si="31"/>
        <v>Aun cuando el indicador tiene programación para el mes de junio se presenta avance de la gestión adelantada durante el periodo la cual está registrada a conformidad</v>
      </c>
      <c r="CS36" t="str">
        <f t="shared" si="32"/>
        <v>Marcela Andrea García Guerrero</v>
      </c>
      <c r="CT36" t="str">
        <f t="shared" si="32"/>
        <v>Cumple</v>
      </c>
      <c r="CU36" t="str">
        <f t="shared" si="32"/>
        <v>Cumplido</v>
      </c>
      <c r="CV36" t="str">
        <f t="shared" si="32"/>
        <v>Adecuado</v>
      </c>
      <c r="CW36" t="str">
        <f t="shared" si="32"/>
        <v>Coherente</v>
      </c>
      <c r="CX36" t="str">
        <f t="shared" si="32"/>
        <v>Concuerda</v>
      </c>
      <c r="CY36" t="str">
        <f t="shared" si="32"/>
        <v>Concuerda</v>
      </c>
      <c r="CZ36">
        <f t="shared" si="32"/>
        <v>0</v>
      </c>
      <c r="DA36" t="str">
        <f t="shared" si="32"/>
        <v>Adecuado</v>
      </c>
      <c r="DB36" t="str">
        <f t="shared" si="32"/>
        <v>Oportuna</v>
      </c>
      <c r="DC36" t="str">
        <f t="shared" si="33"/>
        <v>Ninguna</v>
      </c>
      <c r="DD36" t="str">
        <f t="shared" si="33"/>
        <v>Marcela Andrea García Guerrero</v>
      </c>
      <c r="DE36" t="e">
        <f t="shared" si="33"/>
        <v>#REF!</v>
      </c>
      <c r="DF36" t="e">
        <f t="shared" si="33"/>
        <v>#REF!</v>
      </c>
      <c r="DG36" t="e">
        <f t="shared" si="33"/>
        <v>#REF!</v>
      </c>
      <c r="DH36" t="e">
        <f t="shared" si="33"/>
        <v>#REF!</v>
      </c>
      <c r="DI36" t="e">
        <f t="shared" si="33"/>
        <v>#REF!</v>
      </c>
      <c r="DJ36" t="e">
        <f t="shared" si="33"/>
        <v>#REF!</v>
      </c>
      <c r="DK36" t="e">
        <f t="shared" si="33"/>
        <v>#REF!</v>
      </c>
      <c r="DL36" t="e">
        <f t="shared" si="33"/>
        <v>#REF!</v>
      </c>
      <c r="DM36" t="e">
        <f t="shared" si="34"/>
        <v>#REF!</v>
      </c>
      <c r="DN36" t="e">
        <f t="shared" si="34"/>
        <v>#REF!</v>
      </c>
      <c r="DO36" t="e">
        <f t="shared" si="34"/>
        <v>#REF!</v>
      </c>
      <c r="DP36" t="e">
        <f t="shared" si="34"/>
        <v>#REF!</v>
      </c>
      <c r="DQ36" t="e">
        <f t="shared" si="34"/>
        <v>#REF!</v>
      </c>
      <c r="DR36" t="e">
        <f t="shared" si="34"/>
        <v>#REF!</v>
      </c>
      <c r="DS36" t="e">
        <f t="shared" si="34"/>
        <v>#REF!</v>
      </c>
      <c r="DT36" t="e">
        <f t="shared" si="34"/>
        <v>#REF!</v>
      </c>
      <c r="DU36" t="e">
        <f t="shared" si="34"/>
        <v>#REF!</v>
      </c>
      <c r="DV36" t="e">
        <f t="shared" si="34"/>
        <v>#REF!</v>
      </c>
      <c r="DW36" t="e">
        <f t="shared" si="34"/>
        <v>#REF!</v>
      </c>
      <c r="DX36" t="e">
        <f t="shared" si="34"/>
        <v>#REF!</v>
      </c>
    </row>
    <row r="37" spans="1:128" x14ac:dyDescent="0.3">
      <c r="A37" s="423" t="str">
        <f t="shared" si="16"/>
        <v>48B</v>
      </c>
      <c r="B37" t="str">
        <f t="shared" si="17"/>
        <v>2_Dirección Distrital de Relaciones Internacionales</v>
      </c>
      <c r="C37">
        <f t="shared" si="8"/>
        <v>2</v>
      </c>
      <c r="D37" t="str">
        <f t="shared" si="0"/>
        <v>Dirección Distrital de Relaciones Internacionales</v>
      </c>
      <c r="E37" t="str">
        <f t="shared" si="1"/>
        <v>dri</v>
      </c>
      <c r="F37" s="208" t="str">
        <f>'Sub. Técnica'!D14</f>
        <v>48B</v>
      </c>
      <c r="G37" t="str">
        <f t="shared" si="30"/>
        <v>Suma</v>
      </c>
      <c r="H37" t="str">
        <f t="shared" si="30"/>
        <v>Número</v>
      </c>
      <c r="I37">
        <f t="shared" si="30"/>
        <v>3</v>
      </c>
      <c r="J37">
        <f t="shared" si="30"/>
        <v>10</v>
      </c>
      <c r="K37" t="str">
        <f>+IFERROR(VLOOKUP($F37,Subtecnica_1,MATCH(K$5,'Sub. Técnica'!$D$9:$V$9,0),0),"")</f>
        <v>Suma</v>
      </c>
      <c r="L37">
        <f>+IFERROR(VLOOKUP($F37,Subtecnica_1,MATCH(L$5,'Sub. Técnica'!$D$9:$V$9,0),0),"")</f>
        <v>6</v>
      </c>
      <c r="M37">
        <f t="shared" si="35"/>
        <v>0</v>
      </c>
      <c r="N37">
        <f>+IFERROR(VLOOKUP($F37,Subtecnica_1,MATCH(N$5,'Sub. Técnica'!$D$9:$V$9,0),0),"")</f>
        <v>0</v>
      </c>
      <c r="O37">
        <f>+IFERROR(VLOOKUP($F37,Subtecnica_1,MATCH(O$5,'Sub. Técnica'!$D$9:$V$9,0),0),"")</f>
        <v>0</v>
      </c>
      <c r="P37">
        <f>+IFERROR(VLOOKUP($F37,Subtecnica_1,MATCH(P$5,'Sub. Técnica'!$D$9:$V$9,0),0),"")</f>
        <v>0</v>
      </c>
      <c r="Q37">
        <f>+IFERROR(VLOOKUP($F37,Subtecnica_1,MATCH(Q$5,'Sub. Técnica'!$D$9:$V$9,0),0),"")</f>
        <v>0</v>
      </c>
      <c r="R37">
        <f>+IFERROR(VLOOKUP($F37,Subtecnica_1,MATCH(R$5,'Sub. Técnica'!$D$9:$V$9,0),0),"")</f>
        <v>0</v>
      </c>
      <c r="S37">
        <f>+IFERROR(VLOOKUP($F37,Subtecnica_1,MATCH(S$5,'Sub. Técnica'!$D$9:$V$9,0),0),"")</f>
        <v>6</v>
      </c>
      <c r="T37">
        <f>+IFERROR(VLOOKUP($F37,Subtecnica_1,MATCH(T$5,'Sub. Técnica'!$D$9:$V$9,0),0),"")</f>
        <v>6</v>
      </c>
      <c r="U37" t="str">
        <f>+IFERROR(VLOOKUP($F37,Subtecnica_1,MATCH(U$5,'Sub. Técnica'!$D$9:$V$9,0),0),"")</f>
        <v/>
      </c>
      <c r="V37" t="str">
        <f>+IFERROR(VLOOKUP($F37,Subtecnica_1,MATCH(V$5,'Sub. Técnica'!$D$9:$V$9,0),0),"")</f>
        <v>1. Evaluación de asistencia técnica a brindar a sectores y entidades.
2. Prestar asesoría y acompañamiento técnico en el desarrollo de la acción establecida</v>
      </c>
      <c r="W37" t="str">
        <f>+IFERROR(VLOOKUP($F37,Subtecnica_1,MATCH(W$5,'Sub. Técnica'!$D$9:$V$9,0),0),"")</f>
        <v/>
      </c>
      <c r="X37" t="str">
        <f>+IFERROR(VLOOKUP($F37,Subtecnica_1,MATCH(X$5,'Sub. Técnica'!$D$9:$V$9,0),0),"")</f>
        <v xml:space="preserve">Informe de Gestión de las diferentes acciones a su cierre y según corresponda diferentes documentos generados de acuerdo con el desarrollo de la misma </v>
      </c>
      <c r="Y37">
        <f>+IFERROR(IF(ISBLANK(VLOOKUP(CONCATENATE($F37,"_",Y$4),Subtecnica_2,MATCH(Y$3,'Sub. Técnica'!$F$26:$O$26,0),0)),"",VLOOKUP(CONCATENATE($F37,"_",Y$4),Subtecnica_2,MATCH(Y$3,'Sub. Técnica'!$F$26:$O$26,0),0)),"")</f>
        <v>0</v>
      </c>
      <c r="Z37" t="str">
        <f>+IFERROR(IF(ISBLANK(VLOOKUP(CONCATENATE($F37,"_",Z$4),Subtecnica_2,MATCH(Z$3,'Sub. Técnica'!$F$26:$O$26,0),0)),"",VLOOKUP(CONCATENATE($F37,"_",Z$4),Subtecnica_2,MATCH(Z$3,'Sub. Técnica'!$F$26:$O$26,0),0)),"")</f>
        <v/>
      </c>
      <c r="AA37" t="str">
        <f>+IFERROR(IF(ISBLANK(VLOOKUP(CONCATENATE($F37,"_",AA$4),Subtecnica_2,MATCH(AA$3,'Sub. Técnica'!$F$26:$O$26,0),0)),"",VLOOKUP(CONCATENATE($F37,"_",AA$4),Subtecnica_2,MATCH(AA$3,'Sub. Técnica'!$F$26:$O$26,0),0)),"")</f>
        <v xml:space="preserve">Las acciones específicas dan inicio en el mes de febrero
</v>
      </c>
      <c r="AB37" t="str">
        <f>+IFERROR(IF(ISBLANK(VLOOKUP(CONCATENATE($F37,"_",AB$4),Subtecnica_2,MATCH(AB$3,'Sub. Técnica'!$F$26:$O$26,0),0)),"",VLOOKUP(CONCATENATE($F37,"_",AB$4),Subtecnica_2,MATCH(AB$3,'Sub. Técnica'!$F$26:$O$26,0),0)),"")</f>
        <v>N/A</v>
      </c>
      <c r="AC37" t="str">
        <f>+IFERROR(IF(ISBLANK(VLOOKUP(CONCATENATE($F37,"_",AC$4),Subtecnica_2,MATCH(AC$3,'Sub. Técnica'!$F$26:$O$26,0),0)),"",VLOOKUP(CONCATENATE($F37,"_",AC$4),Subtecnica_2,MATCH(AC$3,'Sub. Técnica'!$F$26:$O$26,0),0)),"")</f>
        <v>N/A</v>
      </c>
      <c r="AD37">
        <f>+IFERROR(IF(ISBLANK(VLOOKUP(CONCATENATE($F37,"_",AD$4),Subtecnica_2,MATCH(AD$3,'Sub. Técnica'!$F$26:$O$26,0),0)),"",VLOOKUP(CONCATENATE($F37,"_",AD$4),Subtecnica_2,MATCH(AD$3,'Sub. Técnica'!$F$26:$O$26,0),0)),"")</f>
        <v>0</v>
      </c>
      <c r="AE37" t="str">
        <f>+IFERROR(IF(ISBLANK(VLOOKUP(CONCATENATE($F37,"_",AE$4),Subtecnica_2,MATCH(AE$3,'Sub. Técnica'!$F$26:$O$26,0),0)),"",VLOOKUP(CONCATENATE($F37,"_",AE$4),Subtecnica_2,MATCH(AE$3,'Sub. Técnica'!$F$26:$O$26,0),0)),"")</f>
        <v/>
      </c>
      <c r="AF37" t="str">
        <f>+IFERROR(IF(ISBLANK(VLOOKUP(CONCATENATE($F37,"_",AF$4),Subtecnica_2,MATCH(AF$3,'Sub. Técnica'!$F$26:$O$26,0),0)),"",VLOOKUP(CONCATENATE($F37,"_",AF$4),Subtecnica_2,MATCH(AF$3,'Sub. Técnica'!$F$26:$O$26,0),0)),"")</f>
        <v>Se avanzó en la siguiente acción:
1. Acompañamiento a la Secretaría de Cultura en la Comixta con Jamaica:
Kingston, Jamaica, es una ciudad reconocida por la consolidación de una identidad en la que el arte y la cultura cumplen un rol fundamental. Por esto Kingston fue declarada por UNESCO como Ciudad Creativa de la Música en 2015, al igual que hace parte de la Red Global de Distritos Culturales (Global Cultural Districts Network: GCDN).}
En este sentido, para la ciudad de Bogotá es de vital importancia contar con la asistencia técnica para la consolidación de modelos de operación, sostenibilidad económica y social, y programación artística en el espacio público.
Este proyecto es una comisión mixta de cooperación entre Bogotá y Kingston sobre asuntos del sector cultural. Está en el interés de ambos países aprender del otro y fomentar el intercambio de conocimiento. Ambos países se encuentran en capacidad de ofrecer asistencia técnica valiosa para el otro. Enesta asistencia técnica la DDRI apoyó con la siguiente gestión:
- Identificar la oportunidad de postulación a este ejercicio de asistencia técnica en doble vía.
- Comunicar oportunamente a la Secretaria de Cultura.
- Apoyar la comunicación entre SCRD y APC Colombia.
- Facilitar la comunicación entre SCRD y la agregada cultural de la Embajada de Jamaica en Bogotá.
- Revisar la propuesta de postulación.
Informe final para consolidación y cierre en el mes de junio</v>
      </c>
      <c r="AG37" t="str">
        <f>+IFERROR(IF(ISBLANK(VLOOKUP(CONCATENATE($F37,"_",AG$4),Subtecnica_2,MATCH(AG$3,'Sub. Técnica'!$F$26:$O$26,0),0)),"",VLOOKUP(CONCATENATE($F37,"_",AG$4),Subtecnica_2,MATCH(AG$3,'Sub. Técnica'!$F$26:$O$26,0),0)),"")</f>
        <v>No se reportaron retrasos ni dificultades en la gestión</v>
      </c>
      <c r="AH37" t="str">
        <f>+IFERROR(IF(ISBLANK(VLOOKUP(CONCATENATE($F37,"_",AH$4),Subtecnica_2,MATCH(AH$3,'Sub. Técnica'!$F$26:$O$26,0),0)),"",VLOOKUP(CONCATENATE($F37,"_",AH$4),Subtecnica_2,MATCH(AH$3,'Sub. Técnica'!$F$26:$O$26,0),0)),"")</f>
        <v>1. Acompañamiento a la Secretaría de Cultura en la Comixta con Jamaica:
Como resultado de la gestión se logró que el proyecto fuera elegido para su realización, con lo cual se logrará el intercambio bilateral para generar un entorno propicio para el desarrollo económico, social y cultural de Bogotá, a través de la consolidación, fomento y sostenibilidad de Distritos Creativos; asi como también, para enriquecer la implementación de metodologías de medición económica de la cultura y la creatividad en Jamaica.</v>
      </c>
      <c r="AI37">
        <f>+IFERROR(IF(ISBLANK(VLOOKUP(CONCATENATE($F37,"_",AI$4),Subtecnica_2,MATCH(AI$3,'Sub. Técnica'!$F$26:$O$26,0),0)),"",VLOOKUP(CONCATENATE($F37,"_",AI$4),Subtecnica_2,MATCH(AI$3,'Sub. Técnica'!$F$26:$O$26,0),0)),"")</f>
        <v>0</v>
      </c>
      <c r="AJ37" t="str">
        <f>+IFERROR(IF(ISBLANK(VLOOKUP(CONCATENATE($F37,"_",AJ$4),Subtecnica_2,MATCH(AJ$3,'Sub. Técnica'!$F$26:$O$26,0),0)),"",VLOOKUP(CONCATENATE($F37,"_",AJ$4),Subtecnica_2,MATCH(AJ$3,'Sub. Técnica'!$F$26:$O$26,0),0)),"")</f>
        <v/>
      </c>
      <c r="AK37" t="str">
        <f>+IFERROR(IF(ISBLANK(VLOOKUP(CONCATENATE($F37,"_",AK$4),Subtecnica_2,MATCH(AK$3,'Sub. Técnica'!$F$26:$O$26,0),0)),"",VLOOKUP(CONCATENATE($F37,"_",AK$4),Subtecnica_2,MATCH(AK$3,'Sub. Técnica'!$F$26:$O$26,0),0)),"")</f>
        <v>En el mes de marzo seavanzó en las siguientes acciones:
1. Visita de la Empresa Pública de Movilidad de Ecuador para conocer buena práctica de movilidad:
La Empresa Pública de Movilidad (EPM) de la ciudad de Ibarra de la República de Ecuador solicitó a la DDRI la coordinación de una reunión con motivo de la visita programada que tenían del 4 al 7 de marzo en la Ciudad de Bogotá para conocer los programas de convivencia a través de la Cultura Ciudadana específicamente en el área de la movilidad. Para lo cual la DDRI realizó la siguiente gestión:
- Coordinación para la adjudicación del programa y/o proyecto de cooperación o relacionamiento estratégico internacional
- Se acompañó en todo momento el proceso de intercambio de saberes, y facilitó el encuentro y la comunicación.
Informe en construcción para reprotar en junio
2. Construcción del poyecto para presentar a la subvención de la Comisión Europea "Autoridades locales: asociaciones por unas ciudades sostenibles 2020" con la ACPDV - 
En marzo de 2020, Mariana Flores Mayen, Directora Ejecutiva de Representación Institucional de la Jefatura de Gobierno de la Ciudad México, invita a la ciudad de Bogotá a participar en la convocatoria de la Comisión Europea sobre "Autoridades locales: asociaciones por unas ciudades sostenibles 2020". 
Desde la Dirección Distrital de Relaciones Internacionales se revisó el concepto original del proyecto y términos de referencia. Mediante comunicación oficial se presenta el proyecto a la Alta Consejería para los Derechos de las Víctimas, la Paz y la Reconciliación – ACDVPR. Se coordina con la ACDVPR la formulación y presentación del proyecto.
Informe final para consolidación y cierre en el mes de junio</v>
      </c>
      <c r="AL37" t="str">
        <f>+IFERROR(IF(ISBLANK(VLOOKUP(CONCATENATE($F37,"_",AL$4),Subtecnica_2,MATCH(AL$3,'Sub. Técnica'!$F$26:$O$26,0),0)),"",VLOOKUP(CONCATENATE($F37,"_",AL$4),Subtecnica_2,MATCH(AL$3,'Sub. Técnica'!$F$26:$O$26,0),0)),"")</f>
        <v>No se reportaron retrasos ni dificultades en la gestión</v>
      </c>
      <c r="AM37" t="str">
        <f>+IFERROR(IF(ISBLANK(VLOOKUP(CONCATENATE($F37,"_",AM$4),Subtecnica_2,MATCH(AM$3,'Sub. Técnica'!$F$26:$O$26,0),0)),"",VLOOKUP(CONCATENATE($F37,"_",AM$4),Subtecnica_2,MATCH(AM$3,'Sub. Técnica'!$F$26:$O$26,0),0)),"")</f>
        <v xml:space="preserve">1. Visita de la Empresa Pública de Movilidad de Ecuador para conocer buena práctica de movilidad: 
Bogotá salió fortalecida al demostrar su posición de liderazgo en el tema. Esto propicia proyección de la ciudad puesto que los visitantes de Ecuador aspiran que esta cooperación se mantenga de manera que ellos logren fortalecer sus instituciones en beneficio de sus conciudadanos.
2. Construcción del poyecto para presentar a la subvención de la Comisión Europea "Autoridades locales: asociaciones por unas ciudades sostenibles 2020" con la ACPDV - 
El proyecto busca mejorar las capacidades institucionales y administrativas de las ciudades y sus autoridades locales en torno a la promoción y el fortalecimiento de una paz sostenible; reforzar el diálogo político y sus desafíos urbanos en todos los niveles de decisión y desde una perspectiva multi actor; fortalecer los mecanismos de consulta, coordinación y cooperación entre los sectores público privado, la sociedad civil y otras partes interesadas en el proceso de toma de decisiones y la obtención de resultados en materia de paz, convivencia, igualdad e inclusión social y, mejorar las capacidades de las ciudades y las autoridades locales para concebir y aplicar políticas públicas integradoras en torno a ciudades en paz
</v>
      </c>
      <c r="AN37">
        <f>+IFERROR(IF(ISBLANK(VLOOKUP(CONCATENATE($F37,"_",AN$4),Subtecnica_2,MATCH(AN$3,'Sub. Técnica'!$F$26:$O$26,0),0)),"",VLOOKUP(CONCATENATE($F37,"_",AN$4),Subtecnica_2,MATCH(AN$3,'Sub. Técnica'!$F$26:$O$26,0),0)),"")</f>
        <v>0</v>
      </c>
      <c r="AO37" t="str">
        <f>+IFERROR(IF(ISBLANK(VLOOKUP(CONCATENATE($F37,"_",AO$4),Subtecnica_2,MATCH(AO$3,'Sub. Técnica'!$F$26:$O$26,0),0)),"",VLOOKUP(CONCATENATE($F37,"_",AO$4),Subtecnica_2,MATCH(AO$3,'Sub. Técnica'!$F$26:$O$26,0),0)),"")</f>
        <v/>
      </c>
      <c r="AP37" t="str">
        <f>+IFERROR(IF(ISBLANK(VLOOKUP(CONCATENATE($F37,"_",AP$4),Subtecnica_2,MATCH(AP$3,'Sub. Técnica'!$F$26:$O$26,0),0)),"",VLOOKUP(CONCATENATE($F37,"_",AP$4),Subtecnica_2,MATCH(AP$3,'Sub. Técnica'!$F$26:$O$26,0),0)),"")</f>
        <v>En el mes de abril se avanzó en la siguiente acción:
1. Articulación de los sectores de la alcaldía de Bogotá para gestionar donaciones para el programa Bogotá Solidaria en Casa
La Alcaldía Mayor de Bogotá creó el Sistema Distrital Bogotá Solidaria en Casa con el fin de atender la contingencia social y económica de Bogotá derivada del COVID-19. Este sistema busca apoyar a más de 350 mil hogares pobres y vulnerables de la ciudad.
A la DDRI se le asignó la coordinación de campaña de donaciones y la articulación de las entidades del distrito con el fin de recaudar recursos en dinero y en especie de empresas y organismos internacionales.
- La Dirección Distrital de Relaciones Internacionales DDRI gestiona las donaciones en dinero y en especie con empresas del sector privado. 
-  Las otras entidades distritales involucradas en la gestión de donaciones reportan las en una matriz a la DDRI para su consolidación y visibilización. 
- La DDRI luego le hace seguimiento a cada entidad con el fin de asegurarse que:
•Cada donación sea sustentada con los soportes correspondientes.
•Cada empresa envíe los logos y que reciban el reconocimiento y visibilidad en la página web, si así lo desean. Esto se hace de manera articulada con el equipo de comunicaciones del Distrito.
•Las empresas reciban una carta firmada por la alcaldesa como agradecimiento 
Informe final para consolidación y cierre en el mes de junio</v>
      </c>
      <c r="AQ37" t="str">
        <f>+IFERROR(IF(ISBLANK(VLOOKUP(CONCATENATE($F37,"_",AQ$4),Subtecnica_2,MATCH(AQ$3,'Sub. Técnica'!$F$26:$O$26,0),0)),"",VLOOKUP(CONCATENATE($F37,"_",AQ$4),Subtecnica_2,MATCH(AQ$3,'Sub. Técnica'!$F$26:$O$26,0),0)),"")</f>
        <v>No se reportaron retrasos ni dificultades en la gestión</v>
      </c>
      <c r="AR37" t="str">
        <f>+IFERROR(IF(ISBLANK(VLOOKUP(CONCATENATE($F37,"_",AR$4),Subtecnica_2,MATCH(AR$3,'Sub. Técnica'!$F$26:$O$26,0),0)),"",VLOOKUP(CONCATENATE($F37,"_",AR$4),Subtecnica_2,MATCH(AR$3,'Sub. Técnica'!$F$26:$O$26,0),0)),"")</f>
        <v>1.  Articulación de los sectores de la alcaldía de Bogotá para gestionar donaciones para el programa Bogotá Solidaria en Casa:
Gracias a la labor de coordinación de la DDRI, y al trabajo de todas las entidades distritales que se unieron al proyecto, esta iniciativa se convirtió en la campaña para recaudar donaciones en un solo día más exitosa en la historia de Colombia, al haber logrado recaudar más de 51 mil millones de pesos, con aportes de 36.771 ciudadanos y más de 130 empresas, fundaciones y gobiernos extranjeros, anunciadas en un lapso de 12 horas consecutivas.</v>
      </c>
      <c r="AS37">
        <f>+IFERROR(IF(ISBLANK(VLOOKUP(CONCATENATE($F37,"_",AS$4),Subtecnica_2,MATCH(AS$3,'Sub. Técnica'!$F$26:$O$26,0),0)),"",VLOOKUP(CONCATENATE($F37,"_",AS$4),Subtecnica_2,MATCH(AS$3,'Sub. Técnica'!$F$26:$O$26,0),0)),"")</f>
        <v>0</v>
      </c>
      <c r="AT37" t="str">
        <f>+IFERROR(IF(ISBLANK(VLOOKUP(CONCATENATE($F37,"_",AT$4),Subtecnica_2,MATCH(AT$3,'Sub. Técnica'!$F$26:$O$26,0),0)),"",VLOOKUP(CONCATENATE($F37,"_",AT$4),Subtecnica_2,MATCH(AT$3,'Sub. Técnica'!$F$26:$O$26,0),0)),"")</f>
        <v/>
      </c>
      <c r="AU37" t="str">
        <f>+IFERROR(IF(ISBLANK(VLOOKUP(CONCATENATE($F37,"_",AU$4),Subtecnica_2,MATCH(AU$3,'Sub. Técnica'!$F$26:$O$26,0),0)),"",VLOOKUP(CONCATENATE($F37,"_",AU$4),Subtecnica_2,MATCH(AU$3,'Sub. Técnica'!$F$26:$O$26,0),0)),"")</f>
        <v>Durante el mes de mayo se avanzó en las siguientes acciones:
1. Acompañamiento a la secretaría de Movilidad en el proyecto de cooperación técnica de VISA -
El objetivo de la propuesta comercial de VISA es el de generar un Sistema de Recaudo Integrando pagos abiertos, transformando la tecnología actual que utiliza la tarjeta Tu Llave Plus (LG CNS)  con tarjetas de contacto del sistema bancario (Tecnología TBD). Para generar una red de pagos global en el sistema integrado de Transporte. 
Se organizó la reunión con Secretaría de Movilidad y Transmilenio para que VISA pudiera realizar la presentación de la propuesta comercial.  A esta reunión asistieron por parte de VISA:  Juan F. Schultze (Director de Asuntos con el Gobierno), Aída Esteban Millat (Directora de Movilidad Urbana de Latinoamérica); Diego Noreña (Movilidad Urbana); Humberto Guihur (Country Manager para la Oficina de Colombia).  Por parte de la Secretaría de Movilidad participaron: Sebastián Velásquez (Director de Planeación de la Secretaría de Movilidad); Jerson Carrillo (Director de Tecnología de Transmilenio); Jorge Torres (Asesor de la Oficina de Tic de Transmilenio); Nathaly Melo (Asesora Dirección de TIC de Transmilenio) y Liliana Diago (Profesional Especializado de la Subdirección de Proyección Internacional de la Alcaldía). 
Informe final para consolidación y cierre en el mes de junio
2. Presentación de proyectos como aliados a la Convocatoria de Bienes Públicos Regionales del BID -
La iniciativa Bienes Públicos Regionales del BID financia soluciones conjuntas a desafíos de desarrollo compartidos a través de la cooperación regional.
El 8 de mayo, la Prefeitura de la Ciudad de São Paulo invitó a la Alcaldía de Bogotá a unirse a la convocatoria de Bienes Públicos Regionales a través de la propuesta de proyecto “La recuperación económica de los trabajadores “invisibles” en América Latina, a través de la Secretaría Distrital de Integración Social. 
Gestión realizada por la DDRI:
- Gestión realizada para la adjudicación del programa y/o proyecto de cooperación o relacionamiento estratégico internacional.
- Revisar el concepto de oferta de cooperación. Mediante comunicación oficial presenta el proyecto de cooperación a la Secretaría Distrital de integración Social. 
- Acompañar la construcción de la participación distrital en el proyecto de cooperación. 
Informe final para consolidación y cierre en el mes de junio</v>
      </c>
      <c r="AV37" t="str">
        <f>+IFERROR(IF(ISBLANK(VLOOKUP(CONCATENATE($F37,"_",AV$4),Subtecnica_2,MATCH(AV$3,'Sub. Técnica'!$F$26:$O$26,0),0)),"",VLOOKUP(CONCATENATE($F37,"_",AV$4),Subtecnica_2,MATCH(AV$3,'Sub. Técnica'!$F$26:$O$26,0),0)),"")</f>
        <v>No se reportaron retrasos ni dificultades en la gestión</v>
      </c>
      <c r="AW37" t="str">
        <f>+IFERROR(IF(ISBLANK(VLOOKUP(CONCATENATE($F37,"_",AW$4),Subtecnica_2,MATCH(AW$3,'Sub. Técnica'!$F$26:$O$26,0),0)),"",VLOOKUP(CONCATENATE($F37,"_",AW$4),Subtecnica_2,MATCH(AW$3,'Sub. Técnica'!$F$26:$O$26,0),0)),"")</f>
        <v>1. Acompañamiento a la secretaría de Movilidad en el proyecto de cooperación técnica de VISA -Se cumplió el objetivo de articular a Visa con la Secretaría de Movilidad y de Transmilenio, y se enfatizó que las propuestas comerciales en ningún caso comprometen a estas entidades a ninguna toma de decisiones al respecto. 
2. Presentación de proyectos como aliados a la Convocatoria de Bienes Públicos Regionales del BID - 
El proyecto de cooperación “La recuperación económica de los trabajadores invisibles en América Latina” espera lograr tres resultados: 1) Recopilación de datos; 2) Estudio de los trabajadores invisibles; 3) Recomendaciones de política y 4) Documento de buenas prácticas.</v>
      </c>
      <c r="AX37">
        <f>+IFERROR(IF(ISBLANK(VLOOKUP(CONCATENATE($F37,"_",AX$4),Subtecnica_2,MATCH(AX$3,'Sub. Técnica'!$F$26:$O$26,0),0)),"",VLOOKUP(CONCATENATE($F37,"_",AX$4),Subtecnica_2,MATCH(AX$3,'Sub. Técnica'!$F$26:$O$26,0),0)),"")</f>
        <v>6</v>
      </c>
      <c r="AY37" t="str">
        <f>+IFERROR(IF(ISBLANK(VLOOKUP(CONCATENATE($F37,"_",AY$4),Subtecnica_2,MATCH(AY$3,'Sub. Técnica'!$F$26:$O$26,0),0)),"",VLOOKUP(CONCATENATE($F37,"_",AY$4),Subtecnica_2,MATCH(AY$3,'Sub. Técnica'!$F$26:$O$26,0),0)),"")</f>
        <v/>
      </c>
      <c r="AZ37" t="str">
        <f>+IFERROR(IF(ISBLANK(VLOOKUP(CONCATENATE($F37,"_",AZ$4),Subtecnica_2,MATCH(AZ$3,'Sub. Técnica'!$F$26:$O$26,0),0)),"",VLOOKUP(CONCATENATE($F37,"_",AZ$4),Subtecnica_2,MATCH(AZ$3,'Sub. Técnica'!$F$26:$O$26,0),0)),"")</f>
        <v>Para el mes de junio se consolidó el informe de gestión final de las asesorías y asistencias técnicas adelantadas en los meses anteriores, las cuales se relacionan a continuación:
1. Acompañamiento a la Secretaría de Cultura en la Comixta con Jamaica
2. Visita de la Empresa Pública de Movilidad de Ecuador para conocer buena práctica de movilidad
3.  Construcción del poyecto para presentar a la subvención de la Comisión Europea "Autoridades locales: asociaciones por unas ciudades sostenibles 2020" con la ACPDV
4. Articulación de los sectores de la alcaldía de Bogotá para gestionar donaciones para el programa Bogotá Solidaria en Casa
5. Acompañamiento a la secretaría de Movilidad en el proyecto de cooperación técnica de VISA
6. Presentación de proyectos como aliados a la Convocatoria de Bienes Públicos Regionales del BID</v>
      </c>
      <c r="BA37" t="str">
        <f>+IFERROR(IF(ISBLANK(VLOOKUP(CONCATENATE($F37,"_",BA$4),Subtecnica_2,MATCH(BA$3,'Sub. Técnica'!$F$26:$O$26,0),0)),"",VLOOKUP(CONCATENATE($F37,"_",BA$4),Subtecnica_2,MATCH(BA$3,'Sub. Técnica'!$F$26:$O$26,0),0)),"")</f>
        <v>No se reportaron retrasos ni dificultades en la gestión</v>
      </c>
      <c r="BB37" t="str">
        <f>+IFERROR(IF(ISBLANK(VLOOKUP(CONCATENATE($F37,"_",BB$4),Subtecnica_2,MATCH(BB$3,'Sub. Técnica'!$F$26:$O$26,0),0)),"",VLOOKUP(CONCATENATE($F37,"_",BB$4),Subtecnica_2,MATCH(BB$3,'Sub. Técnica'!$F$26:$O$26,0),0)),"")</f>
        <v>Beneficios reportados en los meses anteriores</v>
      </c>
      <c r="BC37">
        <f t="shared" si="10"/>
        <v>6</v>
      </c>
      <c r="BD37">
        <f t="shared" si="10"/>
        <v>0</v>
      </c>
      <c r="BE37" s="129" t="str">
        <f>+IFERROR(IF(ISBLANK(VLOOKUP(CONCATENATE($F37,"_",BE$4),P1127_4,MATCH(BE$3,PAAC!$E$19:$M$19,0),0)),"",VLOOKUP(CONCATENATE($F37,"_",BE$4),P1127_4,MATCH(BE$3,PAAC!$E$19:$M$19,0),0)),"")</f>
        <v/>
      </c>
      <c r="BF37" s="129" t="str">
        <f>+IFERROR(IF(ISBLANK(VLOOKUP(CONCATENATE($F37,"_",BF$4),P1127_4,MATCH(BF$3,PAAC!$E$19:$M$19,0),0)),"",VLOOKUP(CONCATENATE($F37,"_",BF$4),P1127_4,MATCH(BF$3,PAAC!$E$19:$M$19,0),0)),"")</f>
        <v/>
      </c>
      <c r="BG37" s="129" t="str">
        <f>+IFERROR(IF(ISBLANK(VLOOKUP(CONCATENATE($F37,"_",BG$4),P1127_4,MATCH(BG$3,PAAC!$E$19:$M$19,0),0)),"",VLOOKUP(CONCATENATE($F37,"_",BG$4),P1127_4,MATCH(BG$3,PAAC!$E$19:$M$19,0),0)),"")</f>
        <v/>
      </c>
      <c r="BH37" s="129" t="str">
        <f>+IFERROR(IF(ISBLANK(VLOOKUP(CONCATENATE($F37,"_",BH$4),P1127_4,MATCH(BH$3,PAAC!$E$19:$M$19,0),0)),"",VLOOKUP(CONCATENATE($F37,"_",BH$4),P1127_4,MATCH(BH$3,PAAC!$E$19:$M$19,0),0)),"")</f>
        <v/>
      </c>
      <c r="BI37" s="129" t="str">
        <f>+IFERROR(IF(ISBLANK(VLOOKUP(CONCATENATE($F37,"_",BI$4),P1127_4,MATCH(BI$3,PAAC!$E$19:$M$19,0),0)),"",VLOOKUP(CONCATENATE($F37,"_",BI$4),P1127_4,MATCH(BI$3,PAAC!$E$19:$M$19,0),0)),"")</f>
        <v/>
      </c>
      <c r="BJ37" s="129" t="str">
        <f>+IFERROR(IF(ISBLANK(VLOOKUP(CONCATENATE($F37,"_",BJ$4),P1127_4,MATCH(BJ$3,PAAC!$E$19:$M$19,0),0)),"",VLOOKUP(CONCATENATE($F37,"_",BJ$4),P1127_4,MATCH(BJ$3,PAAC!$E$19:$M$19,0),0)),"")</f>
        <v/>
      </c>
      <c r="BK37" s="129" t="str">
        <f>+IFERROR(IF(ISBLANK(VLOOKUP(CONCATENATE($F37,"_",BK$4),P1127_4,MATCH(BK$3,PAAC!$E$19:$M$19,0),0)),"",VLOOKUP(CONCATENATE($F37,"_",BK$4),P1127_4,MATCH(BK$3,PAAC!$E$19:$M$19,0),0)),"")</f>
        <v/>
      </c>
      <c r="BL37" s="129" t="str">
        <f>+IFERROR(IF(ISBLANK(VLOOKUP(CONCATENATE($F37,"_",BL$4),P1127_4,MATCH(BL$3,PAAC!$E$19:$M$19,0),0)),"",VLOOKUP(CONCATENATE($F37,"_",BL$4),P1127_4,MATCH(BL$3,PAAC!$E$19:$M$19,0),0)),"")</f>
        <v/>
      </c>
      <c r="BM37" s="129" t="str">
        <f>+IFERROR(IF(ISBLANK(VLOOKUP(CONCATENATE($F37,"_",BM$4),P1127_4,MATCH(BM$3,PAAC!$E$19:$M$19,0),0)),"",VLOOKUP(CONCATENATE($F37,"_",BM$4),P1127_4,MATCH(BM$3,PAAC!$E$19:$M$19,0),0)),"")</f>
        <v/>
      </c>
      <c r="BN37" s="129" t="str">
        <f>+IFERROR(IF(ISBLANK(VLOOKUP(CONCATENATE($F37,"_",BN$4),P1127_4,MATCH(BN$3,PAAC!$E$19:$M$19,0),0)),"",VLOOKUP(CONCATENATE($F37,"_",BN$4),P1127_4,MATCH(BN$3,PAAC!$E$19:$M$19,0),0)),"")</f>
        <v/>
      </c>
      <c r="BO37" s="129" t="str">
        <f>+IFERROR(IF(ISBLANK(VLOOKUP(CONCATENATE($F37,"_",BO$4),P1127_4,MATCH(BO$3,PAAC!$E$19:$M$19,0),0)),"",VLOOKUP(CONCATENATE($F37,"_",BO$4),P1127_4,MATCH(BO$3,PAAC!$E$19:$M$19,0),0)),"")</f>
        <v/>
      </c>
      <c r="BP37" s="129" t="str">
        <f>+IFERROR(IF(ISBLANK(VLOOKUP(CONCATENATE($F37,"_",BP$4),P1127_4,MATCH(BP$3,PAAC!$E$19:$M$19,0),0)),"",VLOOKUP(CONCATENATE($F37,"_",BP$4),P1127_4,MATCH(BP$3,PAAC!$E$19:$M$19,0),0)),"")</f>
        <v/>
      </c>
      <c r="BQ37" s="129" t="str">
        <f>+IFERROR(IF(ISBLANK(VLOOKUP(CONCATENATE($F37,"_",BQ$4),P1127_4,MATCH(BQ$3,PAAC!$E$19:$M$19,0),0)),"",VLOOKUP(CONCATENATE($F37,"_",BQ$4),P1127_4,MATCH(BQ$3,PAAC!$E$19:$M$19,0),0)),"")</f>
        <v/>
      </c>
      <c r="BR37" s="129" t="str">
        <f>+IFERROR(IF(ISBLANK(VLOOKUP(CONCATENATE($F37,"_",BR$4),P1127_4,MATCH(BR$3,PAAC!$E$19:$M$19,0),0)),"",VLOOKUP(CONCATENATE($F37,"_",BR$4),P1127_4,MATCH(BR$3,PAAC!$E$19:$M$19,0),0)),"")</f>
        <v/>
      </c>
      <c r="BS37" s="129" t="str">
        <f>+IFERROR(IF(ISBLANK(VLOOKUP(CONCATENATE($F37,"_",BS$4),P1127_4,MATCH(BS$3,PAAC!$E$19:$M$19,0),0)),"",VLOOKUP(CONCATENATE($F37,"_",BS$4),P1127_4,MATCH(BS$3,PAAC!$E$19:$M$19,0),0)),"")</f>
        <v/>
      </c>
      <c r="BT37" s="129" t="str">
        <f>+IFERROR(IF(ISBLANK(VLOOKUP(CONCATENATE($F37,"_",BT$4),P1127_4,MATCH(BT$3,PAAC!$E$19:$M$19,0),0)),"",VLOOKUP(CONCATENATE($F37,"_",BT$4),P1127_4,MATCH(BT$3,PAAC!$E$19:$M$19,0),0)),"")</f>
        <v/>
      </c>
      <c r="BU37" s="129" t="str">
        <f>+IFERROR(IF(ISBLANK(VLOOKUP(CONCATENATE($F37,"_",BU$4),P1127_4,MATCH(BU$3,PAAC!$E$19:$M$19,0),0)),"",VLOOKUP(CONCATENATE($F37,"_",BU$4),P1127_4,MATCH(BU$3,PAAC!$E$19:$M$19,0),0)),"")</f>
        <v/>
      </c>
      <c r="BV37" s="129" t="str">
        <f>+IFERROR(IF(ISBLANK(VLOOKUP(CONCATENATE($F37,"_",BV$4),P1127_4,MATCH(BV$3,PAAC!$E$19:$M$19,0),0)),"",VLOOKUP(CONCATENATE($F37,"_",BV$4),P1127_4,MATCH(BV$3,PAAC!$E$19:$M$19,0),0)),"")</f>
        <v/>
      </c>
      <c r="BW37" s="129" t="str">
        <f>+IFERROR(IF(ISBLANK(VLOOKUP(CONCATENATE($F37,"_",BW$4),P1127_4,MATCH(BW$3,PAAC!$E$19:$M$19,0),0)),"",VLOOKUP(CONCATENATE($F37,"_",BW$4),P1127_4,MATCH(BW$3,PAAC!$E$19:$M$19,0),0)),"")</f>
        <v/>
      </c>
      <c r="BX37" s="129" t="str">
        <f>+IFERROR(IF(ISBLANK(VLOOKUP(CONCATENATE($F37,"_",BX$4),P1127_4,MATCH(BX$3,PAAC!$E$19:$M$19,0),0)),"",VLOOKUP(CONCATENATE($F37,"_",BX$4),P1127_4,MATCH(BX$3,PAAC!$E$19:$M$19,0),0)),"")</f>
        <v/>
      </c>
      <c r="BY37" s="129" t="str">
        <f>+IFERROR(IF(ISBLANK(VLOOKUP(CONCATENATE($F37,"_",BY$4),P1127_4,MATCH(BY$3,PAAC!$E$19:$M$19,0),0)),"",VLOOKUP(CONCATENATE($F37,"_",BY$4),P1127_4,MATCH(BY$3,PAAC!$E$19:$M$19,0),0)),"")</f>
        <v/>
      </c>
      <c r="BZ37" s="129" t="str">
        <f>+IFERROR(IF(ISBLANK(VLOOKUP(CONCATENATE($F37,"_",BZ$4),P1127_4,MATCH(BZ$3,PAAC!$E$19:$M$19,0),0)),"",VLOOKUP(CONCATENATE($F37,"_",BZ$4),P1127_4,MATCH(BZ$3,PAAC!$E$19:$M$19,0),0)),"")</f>
        <v/>
      </c>
      <c r="CA37" s="129" t="str">
        <f>+IFERROR(IF(ISBLANK(VLOOKUP(CONCATENATE($F37,"_",CA$4),P1127_4,MATCH(CA$3,PAAC!$E$19:$M$19,0),0)),"",VLOOKUP(CONCATENATE($F37,"_",CA$4),P1127_4,MATCH(CA$3,PAAC!$E$19:$M$19,0),0)),"")</f>
        <v/>
      </c>
      <c r="CB37" s="129" t="str">
        <f>+IFERROR(IF(ISBLANK(VLOOKUP(CONCATENATE($F37,"_",CB$4),P1127_4,MATCH(CB$3,PAAC!$E$19:$M$19,0),0)),"",VLOOKUP(CONCATENATE($F37,"_",CB$4),P1127_4,MATCH(CB$3,PAAC!$E$19:$M$19,0),0)),"")</f>
        <v/>
      </c>
      <c r="CC37" s="129" t="str">
        <f>+IFERROR(IF(ISBLANK(VLOOKUP(CONCATENATE($F37,"_",CC$4),P1127_4,MATCH(CC$3,PAAC!$E$19:$M$19,0),0)),"",VLOOKUP(CONCATENATE($F37,"_",CC$4),P1127_4,MATCH(CC$3,PAAC!$E$19:$M$19,0),0)),"")</f>
        <v/>
      </c>
      <c r="CD37" s="129" t="str">
        <f t="shared" si="11"/>
        <v/>
      </c>
      <c r="CE37" s="129" t="str">
        <f t="shared" si="3"/>
        <v/>
      </c>
      <c r="CF37" s="129" t="str">
        <f t="shared" si="4"/>
        <v/>
      </c>
      <c r="CG37" s="129" t="str">
        <f t="shared" si="5"/>
        <v/>
      </c>
      <c r="CH37" s="129" t="str">
        <f t="shared" si="6"/>
        <v/>
      </c>
      <c r="CI37" t="str">
        <f t="shared" si="31"/>
        <v>Cumple</v>
      </c>
      <c r="CJ37" t="str">
        <f t="shared" si="31"/>
        <v>No programó</v>
      </c>
      <c r="CK37" t="str">
        <f t="shared" si="31"/>
        <v>Adecuado</v>
      </c>
      <c r="CL37" t="str">
        <f t="shared" si="31"/>
        <v>Coherente</v>
      </c>
      <c r="CM37" t="str">
        <f t="shared" si="31"/>
        <v>No aplica</v>
      </c>
      <c r="CN37" t="str">
        <f t="shared" si="31"/>
        <v>Concuerda</v>
      </c>
      <c r="CO37">
        <f t="shared" si="31"/>
        <v>0</v>
      </c>
      <c r="CP37" t="str">
        <f t="shared" si="31"/>
        <v>Adecuado</v>
      </c>
      <c r="CQ37" t="str">
        <f t="shared" si="31"/>
        <v>Oportuna</v>
      </c>
      <c r="CR37" t="str">
        <f t="shared" si="31"/>
        <v>Aun cuando el indicador tiene programación para el mes de junio se presenta avance de la gestión adelantada durante el periodo la cual está registrada a conformidad</v>
      </c>
      <c r="CS37" t="str">
        <f t="shared" si="32"/>
        <v>Marcela Andrea García Guerrero</v>
      </c>
      <c r="CT37" t="str">
        <f t="shared" si="32"/>
        <v>Cumple</v>
      </c>
      <c r="CU37" t="str">
        <f t="shared" si="32"/>
        <v>Cumplido</v>
      </c>
      <c r="CV37" t="str">
        <f t="shared" si="32"/>
        <v>Adecuado</v>
      </c>
      <c r="CW37" t="str">
        <f t="shared" si="32"/>
        <v>Coherente</v>
      </c>
      <c r="CX37" t="str">
        <f t="shared" si="32"/>
        <v>Concuerda</v>
      </c>
      <c r="CY37" t="str">
        <f t="shared" si="32"/>
        <v>Concuerda</v>
      </c>
      <c r="CZ37">
        <f t="shared" si="32"/>
        <v>0</v>
      </c>
      <c r="DA37" t="str">
        <f t="shared" si="32"/>
        <v>Adecuado</v>
      </c>
      <c r="DB37" t="str">
        <f t="shared" si="32"/>
        <v>Oportuna</v>
      </c>
      <c r="DC37" t="str">
        <f t="shared" si="33"/>
        <v>Ninguna</v>
      </c>
      <c r="DD37" t="str">
        <f t="shared" si="33"/>
        <v>Marcela Andrea García Guerrero</v>
      </c>
      <c r="DE37" t="e">
        <f t="shared" si="33"/>
        <v>#REF!</v>
      </c>
      <c r="DF37" t="e">
        <f t="shared" si="33"/>
        <v>#REF!</v>
      </c>
      <c r="DG37" t="e">
        <f t="shared" si="33"/>
        <v>#REF!</v>
      </c>
      <c r="DH37" t="e">
        <f t="shared" si="33"/>
        <v>#REF!</v>
      </c>
      <c r="DI37" t="e">
        <f t="shared" si="33"/>
        <v>#REF!</v>
      </c>
      <c r="DJ37" t="e">
        <f t="shared" si="33"/>
        <v>#REF!</v>
      </c>
      <c r="DK37" t="e">
        <f t="shared" si="33"/>
        <v>#REF!</v>
      </c>
      <c r="DL37" t="e">
        <f t="shared" si="33"/>
        <v>#REF!</v>
      </c>
      <c r="DM37" t="e">
        <f t="shared" si="34"/>
        <v>#REF!</v>
      </c>
      <c r="DN37" t="e">
        <f t="shared" si="34"/>
        <v>#REF!</v>
      </c>
      <c r="DO37" t="e">
        <f t="shared" si="34"/>
        <v>#REF!</v>
      </c>
      <c r="DP37" t="e">
        <f t="shared" si="34"/>
        <v>#REF!</v>
      </c>
      <c r="DQ37" t="e">
        <f t="shared" si="34"/>
        <v>#REF!</v>
      </c>
      <c r="DR37" t="e">
        <f t="shared" si="34"/>
        <v>#REF!</v>
      </c>
      <c r="DS37" t="e">
        <f t="shared" si="34"/>
        <v>#REF!</v>
      </c>
      <c r="DT37" t="e">
        <f t="shared" si="34"/>
        <v>#REF!</v>
      </c>
      <c r="DU37" t="e">
        <f t="shared" si="34"/>
        <v>#REF!</v>
      </c>
      <c r="DV37" t="e">
        <f t="shared" si="34"/>
        <v>#REF!</v>
      </c>
      <c r="DW37" t="e">
        <f t="shared" si="34"/>
        <v>#REF!</v>
      </c>
      <c r="DX37" t="e">
        <f t="shared" si="34"/>
        <v>#REF!</v>
      </c>
    </row>
    <row r="38" spans="1:128" x14ac:dyDescent="0.3">
      <c r="A38" s="423" t="str">
        <f t="shared" si="16"/>
        <v>48C (SS)</v>
      </c>
      <c r="B38" t="str">
        <f t="shared" si="17"/>
        <v>3_Dirección Distrital de Relaciones Internacionales</v>
      </c>
      <c r="C38">
        <f t="shared" si="8"/>
        <v>3</v>
      </c>
      <c r="D38" t="str">
        <f t="shared" si="0"/>
        <v>Dirección Distrital de Relaciones Internacionales</v>
      </c>
      <c r="E38" t="str">
        <f t="shared" si="1"/>
        <v>dri</v>
      </c>
      <c r="F38" s="208" t="str">
        <f>'Sub. Técnica'!D15</f>
        <v>48C (SS)</v>
      </c>
      <c r="G38" t="str">
        <f t="shared" si="30"/>
        <v>Constante</v>
      </c>
      <c r="H38" t="str">
        <f t="shared" si="30"/>
        <v>Porcentaje</v>
      </c>
      <c r="I38" t="str">
        <f t="shared" si="30"/>
        <v>No Disponible / No Aplica</v>
      </c>
      <c r="J38">
        <f t="shared" si="30"/>
        <v>0.85</v>
      </c>
      <c r="K38" t="str">
        <f>+IFERROR(VLOOKUP($F38,Subtecnica_1,MATCH(K$5,'Sub. Técnica'!$D$9:$V$9,0),0),"")</f>
        <v>Constante</v>
      </c>
      <c r="L38" t="str">
        <f>+IFERROR(VLOOKUP($F38,Subtecnica_1,MATCH(L$5,'Sub. Técnica'!$D$9:$V$9,0),0),"")</f>
        <v/>
      </c>
      <c r="M38">
        <f t="shared" si="35"/>
        <v>0</v>
      </c>
      <c r="N38">
        <f>+IFERROR(VLOOKUP($F38,Subtecnica_1,MATCH(N$5,'Sub. Técnica'!$D$9:$V$9,0),0),"")</f>
        <v>0</v>
      </c>
      <c r="O38">
        <f>+IFERROR(VLOOKUP($F38,Subtecnica_1,MATCH(O$5,'Sub. Técnica'!$D$9:$V$9,0),0),"")</f>
        <v>0</v>
      </c>
      <c r="P38">
        <f>+IFERROR(VLOOKUP($F38,Subtecnica_1,MATCH(P$5,'Sub. Técnica'!$D$9:$V$9,0),0),"")</f>
        <v>0</v>
      </c>
      <c r="Q38">
        <f>+IFERROR(VLOOKUP($F38,Subtecnica_1,MATCH(Q$5,'Sub. Técnica'!$D$9:$V$9,0),0),"")</f>
        <v>0</v>
      </c>
      <c r="R38">
        <f>+IFERROR(VLOOKUP($F38,Subtecnica_1,MATCH(R$5,'Sub. Técnica'!$D$9:$V$9,0),0),"")</f>
        <v>0</v>
      </c>
      <c r="S38">
        <f>+IFERROR(VLOOKUP($F38,Subtecnica_1,MATCH(S$5,'Sub. Técnica'!$D$9:$V$9,0),0),"")</f>
        <v>0</v>
      </c>
      <c r="T38" t="str">
        <f>+IFERROR(VLOOKUP($F38,Subtecnica_1,MATCH(T$5,'Sub. Técnica'!$D$9:$V$9,0),0),"")</f>
        <v>No Disponible / No Aplica</v>
      </c>
      <c r="U38">
        <f>+IFERROR(VLOOKUP($F38,Subtecnica_1,MATCH(U$5,'Sub. Técnica'!$D$9:$V$9,0),0),"")</f>
        <v>0</v>
      </c>
      <c r="V38">
        <f>+IFERROR(VLOOKUP($F38,Subtecnica_1,MATCH(V$5,'Sub. Técnica'!$D$9:$V$9,0),0),"")</f>
        <v>0</v>
      </c>
      <c r="W38" t="str">
        <f>+IFERROR(VLOOKUP($F38,Subtecnica_1,MATCH(W$5,'Sub. Técnica'!$D$9:$V$9,0),0),"")</f>
        <v>Tener un referente para tomar accionaes encaminadas a realizar mejoras en la prestación de servcios del proceso "Internacionalización de Bogotá"</v>
      </c>
      <c r="X38" t="str">
        <f>+IFERROR(VLOOKUP($F38,Subtecnica_1,MATCH(X$5,'Sub. Técnica'!$D$9:$V$9,0),0),"")</f>
        <v>Reportes periódicos a la Oficina Asesora de Planeación con el análisis y resultado de la aplicación de las encuestas.
Encuentas aplicadas</v>
      </c>
      <c r="Y38" t="str">
        <f>+IFERROR(IF(ISBLANK(VLOOKUP(CONCATENATE($F38,"_",Y$4),Subtecnica_2,MATCH(Y$3,'Sub. Técnica'!$F$26:$O$26,0),0)),"",VLOOKUP(CONCATENATE($F38,"_",Y$4),Subtecnica_2,MATCH(Y$3,'Sub. Técnica'!$F$26:$O$26,0),0)),"")</f>
        <v/>
      </c>
      <c r="Z38" t="str">
        <f>+IFERROR(IF(ISBLANK(VLOOKUP(CONCATENATE($F38,"_",Z$4),Subtecnica_2,MATCH(Z$3,'Sub. Técnica'!$F$26:$O$26,0),0)),"",VLOOKUP(CONCATENATE($F38,"_",Z$4),Subtecnica_2,MATCH(Z$3,'Sub. Técnica'!$F$26:$O$26,0),0)),"")</f>
        <v/>
      </c>
      <c r="AA38" t="str">
        <f>+IFERROR(IF(ISBLANK(VLOOKUP(CONCATENATE($F38,"_",AA$4),Subtecnica_2,MATCH(AA$3,'Sub. Técnica'!$F$26:$O$26,0),0)),"",VLOOKUP(CONCATENATE($F38,"_",AA$4),Subtecnica_2,MATCH(AA$3,'Sub. Técnica'!$F$26:$O$26,0),0)),"")</f>
        <v/>
      </c>
      <c r="AB38" t="str">
        <f>+IFERROR(IF(ISBLANK(VLOOKUP(CONCATENATE($F38,"_",AB$4),Subtecnica_2,MATCH(AB$3,'Sub. Técnica'!$F$26:$O$26,0),0)),"",VLOOKUP(CONCATENATE($F38,"_",AB$4),Subtecnica_2,MATCH(AB$3,'Sub. Técnica'!$F$26:$O$26,0),0)),"")</f>
        <v/>
      </c>
      <c r="AC38" t="str">
        <f>+IFERROR(IF(ISBLANK(VLOOKUP(CONCATENATE($F38,"_",AC$4),Subtecnica_2,MATCH(AC$3,'Sub. Técnica'!$F$26:$O$26,0),0)),"",VLOOKUP(CONCATENATE($F38,"_",AC$4),Subtecnica_2,MATCH(AC$3,'Sub. Técnica'!$F$26:$O$26,0),0)),"")</f>
        <v/>
      </c>
      <c r="AD38" t="str">
        <f>+IFERROR(IF(ISBLANK(VLOOKUP(CONCATENATE($F38,"_",AD$4),Subtecnica_2,MATCH(AD$3,'Sub. Técnica'!$F$26:$O$26,0),0)),"",VLOOKUP(CONCATENATE($F38,"_",AD$4),Subtecnica_2,MATCH(AD$3,'Sub. Técnica'!$F$26:$O$26,0),0)),"")</f>
        <v/>
      </c>
      <c r="AE38" t="str">
        <f>+IFERROR(IF(ISBLANK(VLOOKUP(CONCATENATE($F38,"_",AE$4),Subtecnica_2,MATCH(AE$3,'Sub. Técnica'!$F$26:$O$26,0),0)),"",VLOOKUP(CONCATENATE($F38,"_",AE$4),Subtecnica_2,MATCH(AE$3,'Sub. Técnica'!$F$26:$O$26,0),0)),"")</f>
        <v/>
      </c>
      <c r="AF38" t="str">
        <f>+IFERROR(IF(ISBLANK(VLOOKUP(CONCATENATE($F38,"_",AF$4),Subtecnica_2,MATCH(AF$3,'Sub. Técnica'!$F$26:$O$26,0),0)),"",VLOOKUP(CONCATENATE($F38,"_",AF$4),Subtecnica_2,MATCH(AF$3,'Sub. Técnica'!$F$26:$O$26,0),0)),"")</f>
        <v/>
      </c>
      <c r="AG38" t="str">
        <f>+IFERROR(IF(ISBLANK(VLOOKUP(CONCATENATE($F38,"_",AG$4),Subtecnica_2,MATCH(AG$3,'Sub. Técnica'!$F$26:$O$26,0),0)),"",VLOOKUP(CONCATENATE($F38,"_",AG$4),Subtecnica_2,MATCH(AG$3,'Sub. Técnica'!$F$26:$O$26,0),0)),"")</f>
        <v/>
      </c>
      <c r="AH38" t="str">
        <f>+IFERROR(IF(ISBLANK(VLOOKUP(CONCATENATE($F38,"_",AH$4),Subtecnica_2,MATCH(AH$3,'Sub. Técnica'!$F$26:$O$26,0),0)),"",VLOOKUP(CONCATENATE($F38,"_",AH$4),Subtecnica_2,MATCH(AH$3,'Sub. Técnica'!$F$26:$O$26,0),0)),"")</f>
        <v/>
      </c>
      <c r="AI38" t="str">
        <f>+IFERROR(IF(ISBLANK(VLOOKUP(CONCATENATE($F38,"_",AI$4),Subtecnica_2,MATCH(AI$3,'Sub. Técnica'!$F$26:$O$26,0),0)),"",VLOOKUP(CONCATENATE($F38,"_",AI$4),Subtecnica_2,MATCH(AI$3,'Sub. Técnica'!$F$26:$O$26,0),0)),"")</f>
        <v/>
      </c>
      <c r="AJ38" t="str">
        <f>+IFERROR(IF(ISBLANK(VLOOKUP(CONCATENATE($F38,"_",AJ$4),Subtecnica_2,MATCH(AJ$3,'Sub. Técnica'!$F$26:$O$26,0),0)),"",VLOOKUP(CONCATENATE($F38,"_",AJ$4),Subtecnica_2,MATCH(AJ$3,'Sub. Técnica'!$F$26:$O$26,0),0)),"")</f>
        <v/>
      </c>
      <c r="AK38" t="str">
        <f>+IFERROR(IF(ISBLANK(VLOOKUP(CONCATENATE($F38,"_",AK$4),Subtecnica_2,MATCH(AK$3,'Sub. Técnica'!$F$26:$O$26,0),0)),"",VLOOKUP(CONCATENATE($F38,"_",AK$4),Subtecnica_2,MATCH(AK$3,'Sub. Técnica'!$F$26:$O$26,0),0)),"")</f>
        <v/>
      </c>
      <c r="AL38" t="str">
        <f>+IFERROR(IF(ISBLANK(VLOOKUP(CONCATENATE($F38,"_",AL$4),Subtecnica_2,MATCH(AL$3,'Sub. Técnica'!$F$26:$O$26,0),0)),"",VLOOKUP(CONCATENATE($F38,"_",AL$4),Subtecnica_2,MATCH(AL$3,'Sub. Técnica'!$F$26:$O$26,0),0)),"")</f>
        <v/>
      </c>
      <c r="AM38" t="str">
        <f>+IFERROR(IF(ISBLANK(VLOOKUP(CONCATENATE($F38,"_",AM$4),Subtecnica_2,MATCH(AM$3,'Sub. Técnica'!$F$26:$O$26,0),0)),"",VLOOKUP(CONCATENATE($F38,"_",AM$4),Subtecnica_2,MATCH(AM$3,'Sub. Técnica'!$F$26:$O$26,0),0)),"")</f>
        <v/>
      </c>
      <c r="AN38" t="str">
        <f>+IFERROR(IF(ISBLANK(VLOOKUP(CONCATENATE($F38,"_",AN$4),Subtecnica_2,MATCH(AN$3,'Sub. Técnica'!$F$26:$O$26,0),0)),"",VLOOKUP(CONCATENATE($F38,"_",AN$4),Subtecnica_2,MATCH(AN$3,'Sub. Técnica'!$F$26:$O$26,0),0)),"")</f>
        <v/>
      </c>
      <c r="AO38" t="str">
        <f>+IFERROR(IF(ISBLANK(VLOOKUP(CONCATENATE($F38,"_",AO$4),Subtecnica_2,MATCH(AO$3,'Sub. Técnica'!$F$26:$O$26,0),0)),"",VLOOKUP(CONCATENATE($F38,"_",AO$4),Subtecnica_2,MATCH(AO$3,'Sub. Técnica'!$F$26:$O$26,0),0)),"")</f>
        <v/>
      </c>
      <c r="AP38" t="str">
        <f>+IFERROR(IF(ISBLANK(VLOOKUP(CONCATENATE($F38,"_",AP$4),Subtecnica_2,MATCH(AP$3,'Sub. Técnica'!$F$26:$O$26,0),0)),"",VLOOKUP(CONCATENATE($F38,"_",AP$4),Subtecnica_2,MATCH(AP$3,'Sub. Técnica'!$F$26:$O$26,0),0)),"")</f>
        <v/>
      </c>
      <c r="AQ38" t="str">
        <f>+IFERROR(IF(ISBLANK(VLOOKUP(CONCATENATE($F38,"_",AQ$4),Subtecnica_2,MATCH(AQ$3,'Sub. Técnica'!$F$26:$O$26,0),0)),"",VLOOKUP(CONCATENATE($F38,"_",AQ$4),Subtecnica_2,MATCH(AQ$3,'Sub. Técnica'!$F$26:$O$26,0),0)),"")</f>
        <v/>
      </c>
      <c r="AR38" t="str">
        <f>+IFERROR(IF(ISBLANK(VLOOKUP(CONCATENATE($F38,"_",AR$4),Subtecnica_2,MATCH(AR$3,'Sub. Técnica'!$F$26:$O$26,0),0)),"",VLOOKUP(CONCATENATE($F38,"_",AR$4),Subtecnica_2,MATCH(AR$3,'Sub. Técnica'!$F$26:$O$26,0),0)),"")</f>
        <v/>
      </c>
      <c r="AS38" t="str">
        <f>+IFERROR(IF(ISBLANK(VLOOKUP(CONCATENATE($F38,"_",AS$4),Subtecnica_2,MATCH(AS$3,'Sub. Técnica'!$F$26:$O$26,0),0)),"",VLOOKUP(CONCATENATE($F38,"_",AS$4),Subtecnica_2,MATCH(AS$3,'Sub. Técnica'!$F$26:$O$26,0),0)),"")</f>
        <v/>
      </c>
      <c r="AT38" t="str">
        <f>+IFERROR(IF(ISBLANK(VLOOKUP(CONCATENATE($F38,"_",AT$4),Subtecnica_2,MATCH(AT$3,'Sub. Técnica'!$F$26:$O$26,0),0)),"",VLOOKUP(CONCATENATE($F38,"_",AT$4),Subtecnica_2,MATCH(AT$3,'Sub. Técnica'!$F$26:$O$26,0),0)),"")</f>
        <v/>
      </c>
      <c r="AU38" t="str">
        <f>+IFERROR(IF(ISBLANK(VLOOKUP(CONCATENATE($F38,"_",AU$4),Subtecnica_2,MATCH(AU$3,'Sub. Técnica'!$F$26:$O$26,0),0)),"",VLOOKUP(CONCATENATE($F38,"_",AU$4),Subtecnica_2,MATCH(AU$3,'Sub. Técnica'!$F$26:$O$26,0),0)),"")</f>
        <v/>
      </c>
      <c r="AV38" t="str">
        <f>+IFERROR(IF(ISBLANK(VLOOKUP(CONCATENATE($F38,"_",AV$4),Subtecnica_2,MATCH(AV$3,'Sub. Técnica'!$F$26:$O$26,0),0)),"",VLOOKUP(CONCATENATE($F38,"_",AV$4),Subtecnica_2,MATCH(AV$3,'Sub. Técnica'!$F$26:$O$26,0),0)),"")</f>
        <v/>
      </c>
      <c r="AW38" t="str">
        <f>+IFERROR(IF(ISBLANK(VLOOKUP(CONCATENATE($F38,"_",AW$4),Subtecnica_2,MATCH(AW$3,'Sub. Técnica'!$F$26:$O$26,0),0)),"",VLOOKUP(CONCATENATE($F38,"_",AW$4),Subtecnica_2,MATCH(AW$3,'Sub. Técnica'!$F$26:$O$26,0),0)),"")</f>
        <v/>
      </c>
      <c r="AX38" t="str">
        <f>+IFERROR(IF(ISBLANK(VLOOKUP(CONCATENATE($F38,"_",AX$4),Subtecnica_2,MATCH(AX$3,'Sub. Técnica'!$F$26:$O$26,0),0)),"",VLOOKUP(CONCATENATE($F38,"_",AX$4),Subtecnica_2,MATCH(AX$3,'Sub. Técnica'!$F$26:$O$26,0),0)),"")</f>
        <v/>
      </c>
      <c r="AY38" t="str">
        <f>+IFERROR(IF(ISBLANK(VLOOKUP(CONCATENATE($F38,"_",AY$4),Subtecnica_2,MATCH(AY$3,'Sub. Técnica'!$F$26:$O$26,0),0)),"",VLOOKUP(CONCATENATE($F38,"_",AY$4),Subtecnica_2,MATCH(AY$3,'Sub. Técnica'!$F$26:$O$26,0),0)),"")</f>
        <v/>
      </c>
      <c r="AZ38" t="str">
        <f>+IFERROR(IF(ISBLANK(VLOOKUP(CONCATENATE($F38,"_",AZ$4),Subtecnica_2,MATCH(AZ$3,'Sub. Técnica'!$F$26:$O$26,0),0)),"",VLOOKUP(CONCATENATE($F38,"_",AZ$4),Subtecnica_2,MATCH(AZ$3,'Sub. Técnica'!$F$26:$O$26,0),0)),"")</f>
        <v/>
      </c>
      <c r="BA38" t="str">
        <f>+IFERROR(IF(ISBLANK(VLOOKUP(CONCATENATE($F38,"_",BA$4),Subtecnica_2,MATCH(BA$3,'Sub. Técnica'!$F$26:$O$26,0),0)),"",VLOOKUP(CONCATENATE($F38,"_",BA$4),Subtecnica_2,MATCH(BA$3,'Sub. Técnica'!$F$26:$O$26,0),0)),"")</f>
        <v/>
      </c>
      <c r="BB38" t="str">
        <f>+IFERROR(IF(ISBLANK(VLOOKUP(CONCATENATE($F38,"_",BB$4),Subtecnica_2,MATCH(BB$3,'Sub. Técnica'!$F$26:$O$26,0),0)),"",VLOOKUP(CONCATENATE($F38,"_",BB$4),Subtecnica_2,MATCH(BB$3,'Sub. Técnica'!$F$26:$O$26,0),0)),"")</f>
        <v/>
      </c>
      <c r="BC38">
        <f t="shared" si="10"/>
        <v>0</v>
      </c>
      <c r="BD38">
        <f t="shared" si="10"/>
        <v>0</v>
      </c>
      <c r="BE38" s="129" t="str">
        <f>+IFERROR(IF(ISBLANK(VLOOKUP(CONCATENATE($F38,"_",BE$4),P1127_4,MATCH(BE$3,PAAC!$E$19:$M$19,0),0)),"",VLOOKUP(CONCATENATE($F38,"_",BE$4),P1127_4,MATCH(BE$3,PAAC!$E$19:$M$19,0),0)),"")</f>
        <v/>
      </c>
      <c r="BF38" s="129" t="str">
        <f>+IFERROR(IF(ISBLANK(VLOOKUP(CONCATENATE($F38,"_",BF$4),P1127_4,MATCH(BF$3,PAAC!$E$19:$M$19,0),0)),"",VLOOKUP(CONCATENATE($F38,"_",BF$4),P1127_4,MATCH(BF$3,PAAC!$E$19:$M$19,0),0)),"")</f>
        <v/>
      </c>
      <c r="BG38" s="129" t="str">
        <f>+IFERROR(IF(ISBLANK(VLOOKUP(CONCATENATE($F38,"_",BG$4),P1127_4,MATCH(BG$3,PAAC!$E$19:$M$19,0),0)),"",VLOOKUP(CONCATENATE($F38,"_",BG$4),P1127_4,MATCH(BG$3,PAAC!$E$19:$M$19,0),0)),"")</f>
        <v/>
      </c>
      <c r="BH38" s="129" t="str">
        <f>+IFERROR(IF(ISBLANK(VLOOKUP(CONCATENATE($F38,"_",BH$4),P1127_4,MATCH(BH$3,PAAC!$E$19:$M$19,0),0)),"",VLOOKUP(CONCATENATE($F38,"_",BH$4),P1127_4,MATCH(BH$3,PAAC!$E$19:$M$19,0),0)),"")</f>
        <v/>
      </c>
      <c r="BI38" s="129" t="str">
        <f>+IFERROR(IF(ISBLANK(VLOOKUP(CONCATENATE($F38,"_",BI$4),P1127_4,MATCH(BI$3,PAAC!$E$19:$M$19,0),0)),"",VLOOKUP(CONCATENATE($F38,"_",BI$4),P1127_4,MATCH(BI$3,PAAC!$E$19:$M$19,0),0)),"")</f>
        <v/>
      </c>
      <c r="BJ38" s="129" t="str">
        <f>+IFERROR(IF(ISBLANK(VLOOKUP(CONCATENATE($F38,"_",BJ$4),P1127_4,MATCH(BJ$3,PAAC!$E$19:$M$19,0),0)),"",VLOOKUP(CONCATENATE($F38,"_",BJ$4),P1127_4,MATCH(BJ$3,PAAC!$E$19:$M$19,0),0)),"")</f>
        <v/>
      </c>
      <c r="BK38" s="129" t="str">
        <f>+IFERROR(IF(ISBLANK(VLOOKUP(CONCATENATE($F38,"_",BK$4),P1127_4,MATCH(BK$3,PAAC!$E$19:$M$19,0),0)),"",VLOOKUP(CONCATENATE($F38,"_",BK$4),P1127_4,MATCH(BK$3,PAAC!$E$19:$M$19,0),0)),"")</f>
        <v/>
      </c>
      <c r="BL38" s="129" t="str">
        <f>+IFERROR(IF(ISBLANK(VLOOKUP(CONCATENATE($F38,"_",BL$4),P1127_4,MATCH(BL$3,PAAC!$E$19:$M$19,0),0)),"",VLOOKUP(CONCATENATE($F38,"_",BL$4),P1127_4,MATCH(BL$3,PAAC!$E$19:$M$19,0),0)),"")</f>
        <v/>
      </c>
      <c r="BM38" s="129" t="str">
        <f>+IFERROR(IF(ISBLANK(VLOOKUP(CONCATENATE($F38,"_",BM$4),P1127_4,MATCH(BM$3,PAAC!$E$19:$M$19,0),0)),"",VLOOKUP(CONCATENATE($F38,"_",BM$4),P1127_4,MATCH(BM$3,PAAC!$E$19:$M$19,0),0)),"")</f>
        <v/>
      </c>
      <c r="BN38" s="129" t="str">
        <f>+IFERROR(IF(ISBLANK(VLOOKUP(CONCATENATE($F38,"_",BN$4),P1127_4,MATCH(BN$3,PAAC!$E$19:$M$19,0),0)),"",VLOOKUP(CONCATENATE($F38,"_",BN$4),P1127_4,MATCH(BN$3,PAAC!$E$19:$M$19,0),0)),"")</f>
        <v/>
      </c>
      <c r="BO38" s="129" t="str">
        <f>+IFERROR(IF(ISBLANK(VLOOKUP(CONCATENATE($F38,"_",BO$4),P1127_4,MATCH(BO$3,PAAC!$E$19:$M$19,0),0)),"",VLOOKUP(CONCATENATE($F38,"_",BO$4),P1127_4,MATCH(BO$3,PAAC!$E$19:$M$19,0),0)),"")</f>
        <v/>
      </c>
      <c r="BP38" s="129" t="str">
        <f>+IFERROR(IF(ISBLANK(VLOOKUP(CONCATENATE($F38,"_",BP$4),P1127_4,MATCH(BP$3,PAAC!$E$19:$M$19,0),0)),"",VLOOKUP(CONCATENATE($F38,"_",BP$4),P1127_4,MATCH(BP$3,PAAC!$E$19:$M$19,0),0)),"")</f>
        <v/>
      </c>
      <c r="BQ38" s="129" t="str">
        <f>+IFERROR(IF(ISBLANK(VLOOKUP(CONCATENATE($F38,"_",BQ$4),P1127_4,MATCH(BQ$3,PAAC!$E$19:$M$19,0),0)),"",VLOOKUP(CONCATENATE($F38,"_",BQ$4),P1127_4,MATCH(BQ$3,PAAC!$E$19:$M$19,0),0)),"")</f>
        <v/>
      </c>
      <c r="BR38" s="129" t="str">
        <f>+IFERROR(IF(ISBLANK(VLOOKUP(CONCATENATE($F38,"_",BR$4),P1127_4,MATCH(BR$3,PAAC!$E$19:$M$19,0),0)),"",VLOOKUP(CONCATENATE($F38,"_",BR$4),P1127_4,MATCH(BR$3,PAAC!$E$19:$M$19,0),0)),"")</f>
        <v/>
      </c>
      <c r="BS38" s="129" t="str">
        <f>+IFERROR(IF(ISBLANK(VLOOKUP(CONCATENATE($F38,"_",BS$4),P1127_4,MATCH(BS$3,PAAC!$E$19:$M$19,0),0)),"",VLOOKUP(CONCATENATE($F38,"_",BS$4),P1127_4,MATCH(BS$3,PAAC!$E$19:$M$19,0),0)),"")</f>
        <v/>
      </c>
      <c r="BT38" s="129" t="str">
        <f>+IFERROR(IF(ISBLANK(VLOOKUP(CONCATENATE($F38,"_",BT$4),P1127_4,MATCH(BT$3,PAAC!$E$19:$M$19,0),0)),"",VLOOKUP(CONCATENATE($F38,"_",BT$4),P1127_4,MATCH(BT$3,PAAC!$E$19:$M$19,0),0)),"")</f>
        <v/>
      </c>
      <c r="BU38" s="129" t="str">
        <f>+IFERROR(IF(ISBLANK(VLOOKUP(CONCATENATE($F38,"_",BU$4),P1127_4,MATCH(BU$3,PAAC!$E$19:$M$19,0),0)),"",VLOOKUP(CONCATENATE($F38,"_",BU$4),P1127_4,MATCH(BU$3,PAAC!$E$19:$M$19,0),0)),"")</f>
        <v/>
      </c>
      <c r="BV38" s="129" t="str">
        <f>+IFERROR(IF(ISBLANK(VLOOKUP(CONCATENATE($F38,"_",BV$4),P1127_4,MATCH(BV$3,PAAC!$E$19:$M$19,0),0)),"",VLOOKUP(CONCATENATE($F38,"_",BV$4),P1127_4,MATCH(BV$3,PAAC!$E$19:$M$19,0),0)),"")</f>
        <v/>
      </c>
      <c r="BW38" s="129" t="str">
        <f>+IFERROR(IF(ISBLANK(VLOOKUP(CONCATENATE($F38,"_",BW$4),P1127_4,MATCH(BW$3,PAAC!$E$19:$M$19,0),0)),"",VLOOKUP(CONCATENATE($F38,"_",BW$4),P1127_4,MATCH(BW$3,PAAC!$E$19:$M$19,0),0)),"")</f>
        <v/>
      </c>
      <c r="BX38" s="129" t="str">
        <f>+IFERROR(IF(ISBLANK(VLOOKUP(CONCATENATE($F38,"_",BX$4),P1127_4,MATCH(BX$3,PAAC!$E$19:$M$19,0),0)),"",VLOOKUP(CONCATENATE($F38,"_",BX$4),P1127_4,MATCH(BX$3,PAAC!$E$19:$M$19,0),0)),"")</f>
        <v/>
      </c>
      <c r="BY38" s="129" t="str">
        <f>+IFERROR(IF(ISBLANK(VLOOKUP(CONCATENATE($F38,"_",BY$4),P1127_4,MATCH(BY$3,PAAC!$E$19:$M$19,0),0)),"",VLOOKUP(CONCATENATE($F38,"_",BY$4),P1127_4,MATCH(BY$3,PAAC!$E$19:$M$19,0),0)),"")</f>
        <v/>
      </c>
      <c r="BZ38" s="129" t="str">
        <f>+IFERROR(IF(ISBLANK(VLOOKUP(CONCATENATE($F38,"_",BZ$4),P1127_4,MATCH(BZ$3,PAAC!$E$19:$M$19,0),0)),"",VLOOKUP(CONCATENATE($F38,"_",BZ$4),P1127_4,MATCH(BZ$3,PAAC!$E$19:$M$19,0),0)),"")</f>
        <v/>
      </c>
      <c r="CA38" s="129" t="str">
        <f>+IFERROR(IF(ISBLANK(VLOOKUP(CONCATENATE($F38,"_",CA$4),P1127_4,MATCH(CA$3,PAAC!$E$19:$M$19,0),0)),"",VLOOKUP(CONCATENATE($F38,"_",CA$4),P1127_4,MATCH(CA$3,PAAC!$E$19:$M$19,0),0)),"")</f>
        <v/>
      </c>
      <c r="CB38" s="129" t="str">
        <f>+IFERROR(IF(ISBLANK(VLOOKUP(CONCATENATE($F38,"_",CB$4),P1127_4,MATCH(CB$3,PAAC!$E$19:$M$19,0),0)),"",VLOOKUP(CONCATENATE($F38,"_",CB$4),P1127_4,MATCH(CB$3,PAAC!$E$19:$M$19,0),0)),"")</f>
        <v/>
      </c>
      <c r="CC38" s="129" t="str">
        <f>+IFERROR(IF(ISBLANK(VLOOKUP(CONCATENATE($F38,"_",CC$4),P1127_4,MATCH(CC$3,PAAC!$E$19:$M$19,0),0)),"",VLOOKUP(CONCATENATE($F38,"_",CC$4),P1127_4,MATCH(CC$3,PAAC!$E$19:$M$19,0),0)),"")</f>
        <v/>
      </c>
      <c r="CD38" s="129" t="str">
        <f t="shared" si="11"/>
        <v/>
      </c>
      <c r="CE38" s="129" t="str">
        <f t="shared" si="3"/>
        <v/>
      </c>
      <c r="CF38" s="129" t="str">
        <f t="shared" si="4"/>
        <v/>
      </c>
      <c r="CG38" s="129" t="str">
        <f t="shared" si="5"/>
        <v/>
      </c>
      <c r="CH38" s="129" t="str">
        <f t="shared" si="6"/>
        <v/>
      </c>
      <c r="CI38">
        <f t="shared" si="31"/>
        <v>0</v>
      </c>
      <c r="CJ38">
        <f t="shared" si="31"/>
        <v>0</v>
      </c>
      <c r="CK38">
        <f t="shared" si="31"/>
        <v>0</v>
      </c>
      <c r="CL38" t="str">
        <f t="shared" si="31"/>
        <v>Coherente</v>
      </c>
      <c r="CM38" t="str">
        <f t="shared" si="31"/>
        <v>No aplica</v>
      </c>
      <c r="CN38">
        <f t="shared" si="31"/>
        <v>0</v>
      </c>
      <c r="CO38">
        <f t="shared" si="31"/>
        <v>0</v>
      </c>
      <c r="CP38" t="str">
        <f t="shared" si="31"/>
        <v>Adecuado</v>
      </c>
      <c r="CQ38" t="str">
        <f t="shared" si="31"/>
        <v>Oportuna</v>
      </c>
      <c r="CR38" t="str">
        <f t="shared" si="31"/>
        <v>Aun cuando el indicador tiene programación para el mes de junio se presenta avance de la gestión adelantada durante el periodo la cual está registrada a conformidad</v>
      </c>
      <c r="CS38" t="str">
        <f t="shared" si="32"/>
        <v>Marcela Andrea García Guerrero</v>
      </c>
      <c r="CT38">
        <f t="shared" si="32"/>
        <v>0</v>
      </c>
      <c r="CU38">
        <f t="shared" si="32"/>
        <v>0</v>
      </c>
      <c r="CV38">
        <f t="shared" si="32"/>
        <v>0</v>
      </c>
      <c r="CW38">
        <f t="shared" si="32"/>
        <v>0</v>
      </c>
      <c r="CX38">
        <f t="shared" si="32"/>
        <v>0</v>
      </c>
      <c r="CY38">
        <f t="shared" si="32"/>
        <v>0</v>
      </c>
      <c r="CZ38">
        <f t="shared" si="32"/>
        <v>0</v>
      </c>
      <c r="DA38">
        <f t="shared" si="32"/>
        <v>0</v>
      </c>
      <c r="DB38">
        <f t="shared" si="32"/>
        <v>0</v>
      </c>
      <c r="DC38">
        <f t="shared" si="33"/>
        <v>0</v>
      </c>
      <c r="DD38" t="str">
        <f t="shared" si="33"/>
        <v>Marcela Andrea García Guerrero</v>
      </c>
      <c r="DE38" t="e">
        <f t="shared" si="33"/>
        <v>#REF!</v>
      </c>
      <c r="DF38" t="e">
        <f t="shared" si="33"/>
        <v>#REF!</v>
      </c>
      <c r="DG38" t="e">
        <f t="shared" si="33"/>
        <v>#REF!</v>
      </c>
      <c r="DH38" t="e">
        <f t="shared" si="33"/>
        <v>#REF!</v>
      </c>
      <c r="DI38" t="e">
        <f t="shared" si="33"/>
        <v>#REF!</v>
      </c>
      <c r="DJ38" t="e">
        <f t="shared" si="33"/>
        <v>#REF!</v>
      </c>
      <c r="DK38" t="e">
        <f t="shared" si="33"/>
        <v>#REF!</v>
      </c>
      <c r="DL38" t="e">
        <f t="shared" si="33"/>
        <v>#REF!</v>
      </c>
      <c r="DM38" t="e">
        <f t="shared" si="34"/>
        <v>#REF!</v>
      </c>
      <c r="DN38" t="e">
        <f t="shared" si="34"/>
        <v>#REF!</v>
      </c>
      <c r="DO38" t="e">
        <f t="shared" si="34"/>
        <v>#REF!</v>
      </c>
      <c r="DP38" t="e">
        <f t="shared" si="34"/>
        <v>#REF!</v>
      </c>
      <c r="DQ38" t="e">
        <f t="shared" si="34"/>
        <v>#REF!</v>
      </c>
      <c r="DR38" t="e">
        <f t="shared" si="34"/>
        <v>#REF!</v>
      </c>
      <c r="DS38" t="e">
        <f t="shared" si="34"/>
        <v>#REF!</v>
      </c>
      <c r="DT38" t="e">
        <f t="shared" si="34"/>
        <v>#REF!</v>
      </c>
      <c r="DU38" t="e">
        <f t="shared" si="34"/>
        <v>#REF!</v>
      </c>
      <c r="DV38" t="e">
        <f t="shared" si="34"/>
        <v>#REF!</v>
      </c>
      <c r="DW38" t="e">
        <f t="shared" si="34"/>
        <v>#REF!</v>
      </c>
      <c r="DX38" t="e">
        <f t="shared" si="34"/>
        <v>#REF!</v>
      </c>
    </row>
    <row r="39" spans="1:128" x14ac:dyDescent="0.3">
      <c r="A39" s="423">
        <f t="shared" si="16"/>
        <v>49</v>
      </c>
      <c r="B39" t="str">
        <f t="shared" si="17"/>
        <v>1_Subdirección de Proyección Internacional</v>
      </c>
      <c r="C39">
        <f t="shared" si="8"/>
        <v>1</v>
      </c>
      <c r="D39" t="str">
        <f t="shared" si="0"/>
        <v>Subdirección de Proyección Internacional</v>
      </c>
      <c r="E39" t="str">
        <f t="shared" si="1"/>
        <v>spi</v>
      </c>
      <c r="F39" s="208">
        <f>'Sub. Técnica'!D16</f>
        <v>49</v>
      </c>
      <c r="G39" t="str">
        <f t="shared" si="30"/>
        <v>Suma</v>
      </c>
      <c r="H39" t="str">
        <f t="shared" si="30"/>
        <v>Número</v>
      </c>
      <c r="I39">
        <f t="shared" si="30"/>
        <v>5</v>
      </c>
      <c r="J39">
        <f t="shared" si="30"/>
        <v>1</v>
      </c>
      <c r="K39" t="str">
        <f>+IFERROR(VLOOKUP($F39,Subtecnica_1,MATCH(K$5,'Sub. Técnica'!$D$9:$V$9,0),0),"")</f>
        <v>Suma</v>
      </c>
      <c r="L39">
        <f>+IFERROR(VLOOKUP($F39,Subtecnica_1,MATCH(L$5,'Sub. Técnica'!$D$9:$V$9,0),0),"")</f>
        <v>2</v>
      </c>
      <c r="M39">
        <f t="shared" si="35"/>
        <v>0</v>
      </c>
      <c r="N39">
        <f>+IFERROR(VLOOKUP($F39,Subtecnica_1,MATCH(N$5,'Sub. Técnica'!$D$9:$V$9,0),0),"")</f>
        <v>0</v>
      </c>
      <c r="O39">
        <f>+IFERROR(VLOOKUP($F39,Subtecnica_1,MATCH(O$5,'Sub. Técnica'!$D$9:$V$9,0),0),"")</f>
        <v>0</v>
      </c>
      <c r="P39">
        <f>+IFERROR(VLOOKUP($F39,Subtecnica_1,MATCH(P$5,'Sub. Técnica'!$D$9:$V$9,0),0),"")</f>
        <v>0</v>
      </c>
      <c r="Q39">
        <f>+IFERROR(VLOOKUP($F39,Subtecnica_1,MATCH(Q$5,'Sub. Técnica'!$D$9:$V$9,0),0),"")</f>
        <v>0</v>
      </c>
      <c r="R39">
        <f>+IFERROR(VLOOKUP($F39,Subtecnica_1,MATCH(R$5,'Sub. Técnica'!$D$9:$V$9,0),0),"")</f>
        <v>0</v>
      </c>
      <c r="S39">
        <f>+IFERROR(VLOOKUP($F39,Subtecnica_1,MATCH(S$5,'Sub. Técnica'!$D$9:$V$9,0),0),"")</f>
        <v>2</v>
      </c>
      <c r="T39">
        <f>+IFERROR(VLOOKUP($F39,Subtecnica_1,MATCH(T$5,'Sub. Técnica'!$D$9:$V$9,0),0),"")</f>
        <v>2</v>
      </c>
      <c r="U39" t="str">
        <f>+IFERROR(VLOOKUP($F39,Subtecnica_1,MATCH(U$5,'Sub. Técnica'!$D$9:$V$9,0),0),"")</f>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
      <c r="V39" t="str">
        <f>+IFERROR(VLOOKUP($F39,Subtecnica_1,MATCH(V$5,'Sub. Técnica'!$D$9:$V$9,0),0),"")</f>
        <v>1. Evaluación de la acción de proyección y posicionamiento Internacional
2. Ejecución de la acción  de proyección y posicionamiento Internacional</v>
      </c>
      <c r="W39" t="str">
        <f>+IFERROR(VLOOKUP($F39,Subtecnica_1,MATCH(W$5,'Sub. Técnica'!$D$9:$V$9,0),0),"")</f>
        <v>Posicionar a Bogotá cómo referente internacional a través de sus Buenas Prácticas o experiencias exitosas, en las lineas estratégicas del PDD.</v>
      </c>
      <c r="X39" t="str">
        <f>+IFERROR(VLOOKUP($F39,Subtecnica_1,MATCH(X$5,'Sub. Técnica'!$D$9:$V$9,0),0),"")</f>
        <v xml:space="preserve">Informe de Gestión de las diferentes acciones a su cierre y según corresponda diferentes documentos generados de acuerdo con el desarrollo de la misma </v>
      </c>
      <c r="Y39">
        <f>+IFERROR(IF(ISBLANK(VLOOKUP(CONCATENATE($F39,"_",Y$4),Subtecnica_2,MATCH(Y$3,'Sub. Técnica'!$F$26:$O$26,0),0)),"",VLOOKUP(CONCATENATE($F39,"_",Y$4),Subtecnica_2,MATCH(Y$3,'Sub. Técnica'!$F$26:$O$26,0),0)),"")</f>
        <v>0</v>
      </c>
      <c r="Z39" t="str">
        <f>+IFERROR(IF(ISBLANK(VLOOKUP(CONCATENATE($F39,"_",Z$4),Subtecnica_2,MATCH(Z$3,'Sub. Técnica'!$F$26:$O$26,0),0)),"",VLOOKUP(CONCATENATE($F39,"_",Z$4),Subtecnica_2,MATCH(Z$3,'Sub. Técnica'!$F$26:$O$26,0),0)),"")</f>
        <v/>
      </c>
      <c r="AA39" t="str">
        <f>+IFERROR(IF(ISBLANK(VLOOKUP(CONCATENATE($F39,"_",AA$4),Subtecnica_2,MATCH(AA$3,'Sub. Técnica'!$F$26:$O$26,0),0)),"",VLOOKUP(CONCATENATE($F39,"_",AA$4),Subtecnica_2,MATCH(AA$3,'Sub. Técnica'!$F$26:$O$26,0),0)),"")</f>
        <v xml:space="preserve">Las acciones específicas dan inicio en el mes de febrero
</v>
      </c>
      <c r="AB39" t="str">
        <f>+IFERROR(IF(ISBLANK(VLOOKUP(CONCATENATE($F39,"_",AB$4),Subtecnica_2,MATCH(AB$3,'Sub. Técnica'!$F$26:$O$26,0),0)),"",VLOOKUP(CONCATENATE($F39,"_",AB$4),Subtecnica_2,MATCH(AB$3,'Sub. Técnica'!$F$26:$O$26,0),0)),"")</f>
        <v>N/A</v>
      </c>
      <c r="AC39" t="str">
        <f>+IFERROR(IF(ISBLANK(VLOOKUP(CONCATENATE($F39,"_",AC$4),Subtecnica_2,MATCH(AC$3,'Sub. Técnica'!$F$26:$O$26,0),0)),"",VLOOKUP(CONCATENATE($F39,"_",AC$4),Subtecnica_2,MATCH(AC$3,'Sub. Técnica'!$F$26:$O$26,0),0)),"")</f>
        <v>N/A</v>
      </c>
      <c r="AD39">
        <f>+IFERROR(IF(ISBLANK(VLOOKUP(CONCATENATE($F39,"_",AD$4),Subtecnica_2,MATCH(AD$3,'Sub. Técnica'!$F$26:$O$26,0),0)),"",VLOOKUP(CONCATENATE($F39,"_",AD$4),Subtecnica_2,MATCH(AD$3,'Sub. Técnica'!$F$26:$O$26,0),0)),"")</f>
        <v>0</v>
      </c>
      <c r="AE39" t="str">
        <f>+IFERROR(IF(ISBLANK(VLOOKUP(CONCATENATE($F39,"_",AE$4),Subtecnica_2,MATCH(AE$3,'Sub. Técnica'!$F$26:$O$26,0),0)),"",VLOOKUP(CONCATENATE($F39,"_",AE$4),Subtecnica_2,MATCH(AE$3,'Sub. Técnica'!$F$26:$O$26,0),0)),"")</f>
        <v/>
      </c>
      <c r="AF39" t="str">
        <f>+IFERROR(IF(ISBLANK(VLOOKUP(CONCATENATE($F39,"_",AF$4),Subtecnica_2,MATCH(AF$3,'Sub. Técnica'!$F$26:$O$26,0),0)),"",VLOOKUP(CONCATENATE($F39,"_",AF$4),Subtecnica_2,MATCH(AF$3,'Sub. Técnica'!$F$26:$O$26,0),0)),"")</f>
        <v>Se avanzó en las siguientes acciones:
1. Participación CGLU - TANGER:
CGLU, organiza anualmente un retiro que ofrece una oportunidad para que las partes clave de CGLU, así como sus socios, definan sinergias y desarrollen acciones en línea con los planes de trabajo.
En 2020, el Retiro Anual de CGLU, tuvo lugar del 24 al 29 de febrero en Tánger Marruecos. La Directora Distrital de Relaciones Internacionales, Luz Amparo Medina Gerena, participó en el evento el día.
Gestión realizada por la DDRI:
Durante esta reunión se realizaron diversas reuniones bilaterales dentro de las que se encuentran:
- Reunión Bilateral con CGLU. En la reunión participó Emilia Saiz, Secretaria General de CGLU. El objetivo fue explorar posibles áreas de trabajo en conjunto entre la red y Bogotá. 
- Reunión Bilateral con CIDEU. En la reunión participó Rosa Arlene María, Directora Ejecutiva de CIDEU. Se expusieron las prioridades de cada organización y se exploró la posibilidad de postulación de la Alcaldía de Bogotá a la vicepresidencia de CIDEU para el periodo 2020-2022 y presidencia del 2022-2024.  
- Reunión Bilateral con AL-Las. En la reunión participó Paola Arjona, Directora Técnica de la Alianza Euro Latinoamericana de Cooperación entre Ciudades (AL-Las). Se presentó a grandes rasgos la red. Se señaló que es una red que tiene como misión fortalecer las relaciones internacionales de los gobiernos locales de América Latina y Europa, sus redes y asociaciones para mejorar la calidad de sus políticas públicas y desarrollo territorial.
- Se estableció contacto con Sarah Hoflish la encargada de CGLU Aprende, con quien se están explorando posibles acciones de interés para Bogotá.
Informe final para consolidación y cierre en el mes de junio
2. Participación UCCI - MADRID - 
Desde la Unión de Ciudades Capitales Iberoamericanas- UCCI, red  ciudades de la que Bogotá hace parte, invitaron a la ciudad de Bogotá a participar en el 14º Encuentro de Directores de Relaciones Internacionales y Coordinadores de la .UCCI. Cada año se reúnen los Directores de Relaciones Internacionales y Coordinadores de la UCCI de las ciudades miembro para planear las actividades del año y realizar un balance del año anterior.
Por su parte, la Directora Distrital de Relaciones Internacionales, Luz Amparo Medina como Coordinadora UCCI en Bogotá, participó en el encuentro que se realizó del 20 al 22 de febrero de 2020, en Madrid, España.
Gestión realizada por la DDRI:
- Durante la reunión se contribuyó a la construcción del Estrategia de la UCCI 2020-2024.
- Durante el viaje a Madrid se realizaron dos reuniones bilaterales:
- Reunión Bilateral con la Embajada de Colombia en España (Madrid, España): Durante la reunión, se conversó sobre dos temas en particular; el consorcio de transportes y la gestión de residuos sólidos de Madrid. 
- Reunión Bilateral con la Dirección de Cooperación y Ciudadanía Global de Madrid (Madrid, España): tuvo como objetivo intercambiar ideas frente a potenciales oportunidades de cooperación entre el Distrito y Madrid. A la reunión asistió Cecilio Cerdán Carbonero, Director General de Cooperación y Ciudadanía Global. 
Informe final para consolidación y cierre en el mes de junio</v>
      </c>
      <c r="AG39" t="str">
        <f>+IFERROR(IF(ISBLANK(VLOOKUP(CONCATENATE($F39,"_",AG$4),Subtecnica_2,MATCH(AG$3,'Sub. Técnica'!$F$26:$O$26,0),0)),"",VLOOKUP(CONCATENATE($F39,"_",AG$4),Subtecnica_2,MATCH(AG$3,'Sub. Técnica'!$F$26:$O$26,0),0)),"")</f>
        <v>No se reportaron retrasos ni dificultades en la gestión</v>
      </c>
      <c r="AH39" t="str">
        <f>+IFERROR(IF(ISBLANK(VLOOKUP(CONCATENATE($F39,"_",AH$4),Subtecnica_2,MATCH(AH$3,'Sub. Técnica'!$F$26:$O$26,0),0)),"",VLOOKUP(CONCATENATE($F39,"_",AH$4),Subtecnica_2,MATCH(AH$3,'Sub. Técnica'!$F$26:$O$26,0),0)),"")</f>
        <v xml:space="preserve">1. La participación de la Alcaldía de Bogotá en este evento, le brindó a la administración distrital la posibilidad de potenciar su posicionamiento en el escenario internacional. Específicamente, el Retiro fue una oportunidad de impulsar las conexiones con las diferentes partes del ecosistema de CGLU.  
Asimismo, es importante resaltar que se trató de un evento de alto nivel con potencial directo de posicionamiento internacional y que respondió al interés de la Alcaldesa Claudia López de posicionar a Bogotá en esta red. 
2. Participación UCCI - MADRID
La participación de la Alcaldía de Bogotá en este evento, le brindó a la administración distrital la posibilidad de incidir en la elaboración de la Estrategia de la UCCI 2020.2024. Así como del fortalecimiento de las relaciones con las demás ciudades capitales iberoamericanas que participaron durante la reunión.
Por otro lado, se lograron fortalecer las relaciones bilaterales con la Dirección de Cooperación y Ciudadanía Global de la ciudad de Madrid y con la Embajada de Colombia en España. </v>
      </c>
      <c r="AI39">
        <f>+IFERROR(IF(ISBLANK(VLOOKUP(CONCATENATE($F39,"_",AI$4),Subtecnica_2,MATCH(AI$3,'Sub. Técnica'!$F$26:$O$26,0),0)),"",VLOOKUP(CONCATENATE($F39,"_",AI$4),Subtecnica_2,MATCH(AI$3,'Sub. Técnica'!$F$26:$O$26,0),0)),"")</f>
        <v>0</v>
      </c>
      <c r="AJ39" t="str">
        <f>+IFERROR(IF(ISBLANK(VLOOKUP(CONCATENATE($F39,"_",AJ$4),Subtecnica_2,MATCH(AJ$3,'Sub. Técnica'!$F$26:$O$26,0),0)),"",VLOOKUP(CONCATENATE($F39,"_",AJ$4),Subtecnica_2,MATCH(AJ$3,'Sub. Técnica'!$F$26:$O$26,0),0)),"")</f>
        <v/>
      </c>
      <c r="AK39" t="str">
        <f>+IFERROR(IF(ISBLANK(VLOOKUP(CONCATENATE($F39,"_",AK$4),Subtecnica_2,MATCH(AK$3,'Sub. Técnica'!$F$26:$O$26,0),0)),"",VLOOKUP(CONCATENATE($F39,"_",AK$4),Subtecnica_2,MATCH(AK$3,'Sub. Técnica'!$F$26:$O$26,0),0)),"")</f>
        <v xml:space="preserve">Informes de las acciones en consolidación </v>
      </c>
      <c r="AL39" t="str">
        <f>+IFERROR(IF(ISBLANK(VLOOKUP(CONCATENATE($F39,"_",AL$4),Subtecnica_2,MATCH(AL$3,'Sub. Técnica'!$F$26:$O$26,0),0)),"",VLOOKUP(CONCATENATE($F39,"_",AL$4),Subtecnica_2,MATCH(AL$3,'Sub. Técnica'!$F$26:$O$26,0),0)),"")</f>
        <v>No se reportaron retrasos ni dificultades en la gestión</v>
      </c>
      <c r="AM39" t="str">
        <f>+IFERROR(IF(ISBLANK(VLOOKUP(CONCATENATE($F39,"_",AM$4),Subtecnica_2,MATCH(AM$3,'Sub. Técnica'!$F$26:$O$26,0),0)),"",VLOOKUP(CONCATENATE($F39,"_",AM$4),Subtecnica_2,MATCH(AM$3,'Sub. Técnica'!$F$26:$O$26,0),0)),"")</f>
        <v>N/A</v>
      </c>
      <c r="AN39">
        <f>+IFERROR(IF(ISBLANK(VLOOKUP(CONCATENATE($F39,"_",AN$4),Subtecnica_2,MATCH(AN$3,'Sub. Técnica'!$F$26:$O$26,0),0)),"",VLOOKUP(CONCATENATE($F39,"_",AN$4),Subtecnica_2,MATCH(AN$3,'Sub. Técnica'!$F$26:$O$26,0),0)),"")</f>
        <v>0</v>
      </c>
      <c r="AO39" t="str">
        <f>+IFERROR(IF(ISBLANK(VLOOKUP(CONCATENATE($F39,"_",AO$4),Subtecnica_2,MATCH(AO$3,'Sub. Técnica'!$F$26:$O$26,0),0)),"",VLOOKUP(CONCATENATE($F39,"_",AO$4),Subtecnica_2,MATCH(AO$3,'Sub. Técnica'!$F$26:$O$26,0),0)),"")</f>
        <v/>
      </c>
      <c r="AP39" t="str">
        <f>+IFERROR(IF(ISBLANK(VLOOKUP(CONCATENATE($F39,"_",AP$4),Subtecnica_2,MATCH(AP$3,'Sub. Técnica'!$F$26:$O$26,0),0)),"",VLOOKUP(CONCATENATE($F39,"_",AP$4),Subtecnica_2,MATCH(AP$3,'Sub. Técnica'!$F$26:$O$26,0),0)),"")</f>
        <v xml:space="preserve">Informes de las acciones en consolidación </v>
      </c>
      <c r="AQ39" t="str">
        <f>+IFERROR(IF(ISBLANK(VLOOKUP(CONCATENATE($F39,"_",AQ$4),Subtecnica_2,MATCH(AQ$3,'Sub. Técnica'!$F$26:$O$26,0),0)),"",VLOOKUP(CONCATENATE($F39,"_",AQ$4),Subtecnica_2,MATCH(AQ$3,'Sub. Técnica'!$F$26:$O$26,0),0)),"")</f>
        <v>No se reportaron retrasos ni dificultades en la gestión</v>
      </c>
      <c r="AR39" t="str">
        <f>+IFERROR(IF(ISBLANK(VLOOKUP(CONCATENATE($F39,"_",AR$4),Subtecnica_2,MATCH(AR$3,'Sub. Técnica'!$F$26:$O$26,0),0)),"",VLOOKUP(CONCATENATE($F39,"_",AR$4),Subtecnica_2,MATCH(AR$3,'Sub. Técnica'!$F$26:$O$26,0),0)),"")</f>
        <v>N/A</v>
      </c>
      <c r="AS39">
        <f>+IFERROR(IF(ISBLANK(VLOOKUP(CONCATENATE($F39,"_",AS$4),Subtecnica_2,MATCH(AS$3,'Sub. Técnica'!$F$26:$O$26,0),0)),"",VLOOKUP(CONCATENATE($F39,"_",AS$4),Subtecnica_2,MATCH(AS$3,'Sub. Técnica'!$F$26:$O$26,0),0)),"")</f>
        <v>0</v>
      </c>
      <c r="AT39" t="str">
        <f>+IFERROR(IF(ISBLANK(VLOOKUP(CONCATENATE($F39,"_",AT$4),Subtecnica_2,MATCH(AT$3,'Sub. Técnica'!$F$26:$O$26,0),0)),"",VLOOKUP(CONCATENATE($F39,"_",AT$4),Subtecnica_2,MATCH(AT$3,'Sub. Técnica'!$F$26:$O$26,0),0)),"")</f>
        <v/>
      </c>
      <c r="AU39" t="str">
        <f>+IFERROR(IF(ISBLANK(VLOOKUP(CONCATENATE($F39,"_",AU$4),Subtecnica_2,MATCH(AU$3,'Sub. Técnica'!$F$26:$O$26,0),0)),"",VLOOKUP(CONCATENATE($F39,"_",AU$4),Subtecnica_2,MATCH(AU$3,'Sub. Técnica'!$F$26:$O$26,0),0)),"")</f>
        <v xml:space="preserve">Informes de las acciones en consolidación </v>
      </c>
      <c r="AV39" t="str">
        <f>+IFERROR(IF(ISBLANK(VLOOKUP(CONCATENATE($F39,"_",AV$4),Subtecnica_2,MATCH(AV$3,'Sub. Técnica'!$F$26:$O$26,0),0)),"",VLOOKUP(CONCATENATE($F39,"_",AV$4),Subtecnica_2,MATCH(AV$3,'Sub. Técnica'!$F$26:$O$26,0),0)),"")</f>
        <v>No se reportaron retrasos ni dificultades en la gestión</v>
      </c>
      <c r="AW39" t="str">
        <f>+IFERROR(IF(ISBLANK(VLOOKUP(CONCATENATE($F39,"_",AW$4),Subtecnica_2,MATCH(AW$3,'Sub. Técnica'!$F$26:$O$26,0),0)),"",VLOOKUP(CONCATENATE($F39,"_",AW$4),Subtecnica_2,MATCH(AW$3,'Sub. Técnica'!$F$26:$O$26,0),0)),"")</f>
        <v>N/A</v>
      </c>
      <c r="AX39">
        <f>+IFERROR(IF(ISBLANK(VLOOKUP(CONCATENATE($F39,"_",AX$4),Subtecnica_2,MATCH(AX$3,'Sub. Técnica'!$F$26:$O$26,0),0)),"",VLOOKUP(CONCATENATE($F39,"_",AX$4),Subtecnica_2,MATCH(AX$3,'Sub. Técnica'!$F$26:$O$26,0),0)),"")</f>
        <v>2</v>
      </c>
      <c r="AY39" t="str">
        <f>+IFERROR(IF(ISBLANK(VLOOKUP(CONCATENATE($F39,"_",AY$4),Subtecnica_2,MATCH(AY$3,'Sub. Técnica'!$F$26:$O$26,0),0)),"",VLOOKUP(CONCATENATE($F39,"_",AY$4),Subtecnica_2,MATCH(AY$3,'Sub. Técnica'!$F$26:$O$26,0),0)),"")</f>
        <v/>
      </c>
      <c r="AZ39" t="str">
        <f>+IFERROR(IF(ISBLANK(VLOOKUP(CONCATENATE($F39,"_",AZ$4),Subtecnica_2,MATCH(AZ$3,'Sub. Técnica'!$F$26:$O$26,0),0)),"",VLOOKUP(CONCATENATE($F39,"_",AZ$4),Subtecnica_2,MATCH(AZ$3,'Sub. Técnica'!$F$26:$O$26,0),0)),"")</f>
        <v>Para el mes de junio se consolidó el informe de gestión final de las dos acciones ejecutadas, las cuales se relacionan a continuación::
1. Participación CGLU - TANGER
2. Participación UCCI - MADRID</v>
      </c>
      <c r="BA39" t="str">
        <f>+IFERROR(IF(ISBLANK(VLOOKUP(CONCATENATE($F39,"_",BA$4),Subtecnica_2,MATCH(BA$3,'Sub. Técnica'!$F$26:$O$26,0),0)),"",VLOOKUP(CONCATENATE($F39,"_",BA$4),Subtecnica_2,MATCH(BA$3,'Sub. Técnica'!$F$26:$O$26,0),0)),"")</f>
        <v>No se reportaron retrasos ni dificultades en la gestión</v>
      </c>
      <c r="BB39" t="str">
        <f>+IFERROR(IF(ISBLANK(VLOOKUP(CONCATENATE($F39,"_",BB$4),Subtecnica_2,MATCH(BB$3,'Sub. Técnica'!$F$26:$O$26,0),0)),"",VLOOKUP(CONCATENATE($F39,"_",BB$4),Subtecnica_2,MATCH(BB$3,'Sub. Técnica'!$F$26:$O$26,0),0)),"")</f>
        <v>Beneficios reportados en el mes de febrero.</v>
      </c>
      <c r="BC39">
        <f t="shared" si="10"/>
        <v>2</v>
      </c>
      <c r="BD39">
        <f t="shared" si="10"/>
        <v>0</v>
      </c>
      <c r="BE39" s="129" t="str">
        <f>+IFERROR(IF(ISBLANK(VLOOKUP(CONCATENATE($F39,"_",BE$4),P1127_4,MATCH(BE$3,PAAC!$E$19:$M$19,0),0)),"",VLOOKUP(CONCATENATE($F39,"_",BE$4),P1127_4,MATCH(BE$3,PAAC!$E$19:$M$19,0),0)),"")</f>
        <v/>
      </c>
      <c r="BF39" s="129" t="str">
        <f>+IFERROR(IF(ISBLANK(VLOOKUP(CONCATENATE($F39,"_",BF$4),P1127_4,MATCH(BF$3,PAAC!$E$19:$M$19,0),0)),"",VLOOKUP(CONCATENATE($F39,"_",BF$4),P1127_4,MATCH(BF$3,PAAC!$E$19:$M$19,0),0)),"")</f>
        <v/>
      </c>
      <c r="BG39" s="129" t="str">
        <f>+IFERROR(IF(ISBLANK(VLOOKUP(CONCATENATE($F39,"_",BG$4),P1127_4,MATCH(BG$3,PAAC!$E$19:$M$19,0),0)),"",VLOOKUP(CONCATENATE($F39,"_",BG$4),P1127_4,MATCH(BG$3,PAAC!$E$19:$M$19,0),0)),"")</f>
        <v/>
      </c>
      <c r="BH39" s="129" t="str">
        <f>+IFERROR(IF(ISBLANK(VLOOKUP(CONCATENATE($F39,"_",BH$4),P1127_4,MATCH(BH$3,PAAC!$E$19:$M$19,0),0)),"",VLOOKUP(CONCATENATE($F39,"_",BH$4),P1127_4,MATCH(BH$3,PAAC!$E$19:$M$19,0),0)),"")</f>
        <v/>
      </c>
      <c r="BI39" s="129" t="str">
        <f>+IFERROR(IF(ISBLANK(VLOOKUP(CONCATENATE($F39,"_",BI$4),P1127_4,MATCH(BI$3,PAAC!$E$19:$M$19,0),0)),"",VLOOKUP(CONCATENATE($F39,"_",BI$4),P1127_4,MATCH(BI$3,PAAC!$E$19:$M$19,0),0)),"")</f>
        <v/>
      </c>
      <c r="BJ39" s="129" t="str">
        <f>+IFERROR(IF(ISBLANK(VLOOKUP(CONCATENATE($F39,"_",BJ$4),P1127_4,MATCH(BJ$3,PAAC!$E$19:$M$19,0),0)),"",VLOOKUP(CONCATENATE($F39,"_",BJ$4),P1127_4,MATCH(BJ$3,PAAC!$E$19:$M$19,0),0)),"")</f>
        <v/>
      </c>
      <c r="BK39" s="129" t="str">
        <f>+IFERROR(IF(ISBLANK(VLOOKUP(CONCATENATE($F39,"_",BK$4),P1127_4,MATCH(BK$3,PAAC!$E$19:$M$19,0),0)),"",VLOOKUP(CONCATENATE($F39,"_",BK$4),P1127_4,MATCH(BK$3,PAAC!$E$19:$M$19,0),0)),"")</f>
        <v/>
      </c>
      <c r="BL39" s="129" t="str">
        <f>+IFERROR(IF(ISBLANK(VLOOKUP(CONCATENATE($F39,"_",BL$4),P1127_4,MATCH(BL$3,PAAC!$E$19:$M$19,0),0)),"",VLOOKUP(CONCATENATE($F39,"_",BL$4),P1127_4,MATCH(BL$3,PAAC!$E$19:$M$19,0),0)),"")</f>
        <v/>
      </c>
      <c r="BM39" s="129" t="str">
        <f>+IFERROR(IF(ISBLANK(VLOOKUP(CONCATENATE($F39,"_",BM$4),P1127_4,MATCH(BM$3,PAAC!$E$19:$M$19,0),0)),"",VLOOKUP(CONCATENATE($F39,"_",BM$4),P1127_4,MATCH(BM$3,PAAC!$E$19:$M$19,0),0)),"")</f>
        <v/>
      </c>
      <c r="BN39" s="129" t="str">
        <f>+IFERROR(IF(ISBLANK(VLOOKUP(CONCATENATE($F39,"_",BN$4),P1127_4,MATCH(BN$3,PAAC!$E$19:$M$19,0),0)),"",VLOOKUP(CONCATENATE($F39,"_",BN$4),P1127_4,MATCH(BN$3,PAAC!$E$19:$M$19,0),0)),"")</f>
        <v/>
      </c>
      <c r="BO39" s="129" t="str">
        <f>+IFERROR(IF(ISBLANK(VLOOKUP(CONCATENATE($F39,"_",BO$4),P1127_4,MATCH(BO$3,PAAC!$E$19:$M$19,0),0)),"",VLOOKUP(CONCATENATE($F39,"_",BO$4),P1127_4,MATCH(BO$3,PAAC!$E$19:$M$19,0),0)),"")</f>
        <v/>
      </c>
      <c r="BP39" s="129" t="str">
        <f>+IFERROR(IF(ISBLANK(VLOOKUP(CONCATENATE($F39,"_",BP$4),P1127_4,MATCH(BP$3,PAAC!$E$19:$M$19,0),0)),"",VLOOKUP(CONCATENATE($F39,"_",BP$4),P1127_4,MATCH(BP$3,PAAC!$E$19:$M$19,0),0)),"")</f>
        <v/>
      </c>
      <c r="BQ39" s="129" t="str">
        <f>+IFERROR(IF(ISBLANK(VLOOKUP(CONCATENATE($F39,"_",BQ$4),P1127_4,MATCH(BQ$3,PAAC!$E$19:$M$19,0),0)),"",VLOOKUP(CONCATENATE($F39,"_",BQ$4),P1127_4,MATCH(BQ$3,PAAC!$E$19:$M$19,0),0)),"")</f>
        <v/>
      </c>
      <c r="BR39" s="129" t="str">
        <f>+IFERROR(IF(ISBLANK(VLOOKUP(CONCATENATE($F39,"_",BR$4),P1127_4,MATCH(BR$3,PAAC!$E$19:$M$19,0),0)),"",VLOOKUP(CONCATENATE($F39,"_",BR$4),P1127_4,MATCH(BR$3,PAAC!$E$19:$M$19,0),0)),"")</f>
        <v/>
      </c>
      <c r="BS39" s="129" t="str">
        <f>+IFERROR(IF(ISBLANK(VLOOKUP(CONCATENATE($F39,"_",BS$4),P1127_4,MATCH(BS$3,PAAC!$E$19:$M$19,0),0)),"",VLOOKUP(CONCATENATE($F39,"_",BS$4),P1127_4,MATCH(BS$3,PAAC!$E$19:$M$19,0),0)),"")</f>
        <v/>
      </c>
      <c r="BT39" s="129" t="str">
        <f>+IFERROR(IF(ISBLANK(VLOOKUP(CONCATENATE($F39,"_",BT$4),P1127_4,MATCH(BT$3,PAAC!$E$19:$M$19,0),0)),"",VLOOKUP(CONCATENATE($F39,"_",BT$4),P1127_4,MATCH(BT$3,PAAC!$E$19:$M$19,0),0)),"")</f>
        <v/>
      </c>
      <c r="BU39" s="129" t="str">
        <f>+IFERROR(IF(ISBLANK(VLOOKUP(CONCATENATE($F39,"_",BU$4),P1127_4,MATCH(BU$3,PAAC!$E$19:$M$19,0),0)),"",VLOOKUP(CONCATENATE($F39,"_",BU$4),P1127_4,MATCH(BU$3,PAAC!$E$19:$M$19,0),0)),"")</f>
        <v/>
      </c>
      <c r="BV39" s="129" t="str">
        <f>+IFERROR(IF(ISBLANK(VLOOKUP(CONCATENATE($F39,"_",BV$4),P1127_4,MATCH(BV$3,PAAC!$E$19:$M$19,0),0)),"",VLOOKUP(CONCATENATE($F39,"_",BV$4),P1127_4,MATCH(BV$3,PAAC!$E$19:$M$19,0),0)),"")</f>
        <v/>
      </c>
      <c r="BW39" s="129" t="str">
        <f>+IFERROR(IF(ISBLANK(VLOOKUP(CONCATENATE($F39,"_",BW$4),P1127_4,MATCH(BW$3,PAAC!$E$19:$M$19,0),0)),"",VLOOKUP(CONCATENATE($F39,"_",BW$4),P1127_4,MATCH(BW$3,PAAC!$E$19:$M$19,0),0)),"")</f>
        <v/>
      </c>
      <c r="BX39" s="129" t="str">
        <f>+IFERROR(IF(ISBLANK(VLOOKUP(CONCATENATE($F39,"_",BX$4),P1127_4,MATCH(BX$3,PAAC!$E$19:$M$19,0),0)),"",VLOOKUP(CONCATENATE($F39,"_",BX$4),P1127_4,MATCH(BX$3,PAAC!$E$19:$M$19,0),0)),"")</f>
        <v/>
      </c>
      <c r="BY39" s="129" t="str">
        <f>+IFERROR(IF(ISBLANK(VLOOKUP(CONCATENATE($F39,"_",BY$4),P1127_4,MATCH(BY$3,PAAC!$E$19:$M$19,0),0)),"",VLOOKUP(CONCATENATE($F39,"_",BY$4),P1127_4,MATCH(BY$3,PAAC!$E$19:$M$19,0),0)),"")</f>
        <v/>
      </c>
      <c r="BZ39" s="129" t="str">
        <f>+IFERROR(IF(ISBLANK(VLOOKUP(CONCATENATE($F39,"_",BZ$4),P1127_4,MATCH(BZ$3,PAAC!$E$19:$M$19,0),0)),"",VLOOKUP(CONCATENATE($F39,"_",BZ$4),P1127_4,MATCH(BZ$3,PAAC!$E$19:$M$19,0),0)),"")</f>
        <v/>
      </c>
      <c r="CA39" s="129" t="str">
        <f>+IFERROR(IF(ISBLANK(VLOOKUP(CONCATENATE($F39,"_",CA$4),P1127_4,MATCH(CA$3,PAAC!$E$19:$M$19,0),0)),"",VLOOKUP(CONCATENATE($F39,"_",CA$4),P1127_4,MATCH(CA$3,PAAC!$E$19:$M$19,0),0)),"")</f>
        <v/>
      </c>
      <c r="CB39" s="129" t="str">
        <f>+IFERROR(IF(ISBLANK(VLOOKUP(CONCATENATE($F39,"_",CB$4),P1127_4,MATCH(CB$3,PAAC!$E$19:$M$19,0),0)),"",VLOOKUP(CONCATENATE($F39,"_",CB$4),P1127_4,MATCH(CB$3,PAAC!$E$19:$M$19,0),0)),"")</f>
        <v/>
      </c>
      <c r="CC39" s="129" t="str">
        <f>+IFERROR(IF(ISBLANK(VLOOKUP(CONCATENATE($F39,"_",CC$4),P1127_4,MATCH(CC$3,PAAC!$E$19:$M$19,0),0)),"",VLOOKUP(CONCATENATE($F39,"_",CC$4),P1127_4,MATCH(CC$3,PAAC!$E$19:$M$19,0),0)),"")</f>
        <v/>
      </c>
      <c r="CD39" s="129" t="str">
        <f t="shared" si="11"/>
        <v/>
      </c>
      <c r="CE39" s="129" t="str">
        <f t="shared" si="3"/>
        <v/>
      </c>
      <c r="CF39" s="129" t="str">
        <f t="shared" si="4"/>
        <v/>
      </c>
      <c r="CG39" s="129" t="str">
        <f t="shared" si="5"/>
        <v/>
      </c>
      <c r="CH39" s="129" t="str">
        <f t="shared" si="6"/>
        <v/>
      </c>
      <c r="CI39" t="str">
        <f t="shared" si="31"/>
        <v>Cumple</v>
      </c>
      <c r="CJ39" t="str">
        <f t="shared" si="31"/>
        <v>No programó</v>
      </c>
      <c r="CK39" t="str">
        <f t="shared" si="31"/>
        <v>Adecuado</v>
      </c>
      <c r="CL39" t="str">
        <f t="shared" si="31"/>
        <v>Coherente</v>
      </c>
      <c r="CM39" t="str">
        <f t="shared" si="31"/>
        <v>No aplica</v>
      </c>
      <c r="CN39" t="str">
        <f t="shared" si="31"/>
        <v>Concuerda</v>
      </c>
      <c r="CO39">
        <f t="shared" si="31"/>
        <v>0</v>
      </c>
      <c r="CP39" t="str">
        <f t="shared" si="31"/>
        <v>Adecuado</v>
      </c>
      <c r="CQ39" t="str">
        <f t="shared" si="31"/>
        <v>Oportuna</v>
      </c>
      <c r="CR39" t="str">
        <f t="shared" si="31"/>
        <v>Aun cuando el indicador tiene programación para el mes de junio se presenta avance de la gestión adelantada durante el periodo la cual está registrada a conformidad</v>
      </c>
      <c r="CS39" t="str">
        <f t="shared" si="32"/>
        <v>Marcela Andrea García Guerrero</v>
      </c>
      <c r="CT39" t="str">
        <f t="shared" si="32"/>
        <v>Cumple</v>
      </c>
      <c r="CU39" t="str">
        <f t="shared" si="32"/>
        <v>Cumplido</v>
      </c>
      <c r="CV39" t="str">
        <f t="shared" si="32"/>
        <v>Adecuado</v>
      </c>
      <c r="CW39" t="str">
        <f t="shared" si="32"/>
        <v>Coherente</v>
      </c>
      <c r="CX39" t="str">
        <f t="shared" si="32"/>
        <v>Concuerda</v>
      </c>
      <c r="CY39" t="str">
        <f t="shared" si="32"/>
        <v>Concuerda</v>
      </c>
      <c r="CZ39">
        <f t="shared" si="32"/>
        <v>0</v>
      </c>
      <c r="DA39" t="str">
        <f t="shared" si="32"/>
        <v>Adecuado</v>
      </c>
      <c r="DB39" t="str">
        <f t="shared" si="32"/>
        <v>Oportuna</v>
      </c>
      <c r="DC39" t="str">
        <f t="shared" si="33"/>
        <v>Ninguna</v>
      </c>
      <c r="DD39" t="str">
        <f t="shared" si="33"/>
        <v>Marcela Andrea García Guerrero</v>
      </c>
      <c r="DE39" t="e">
        <f t="shared" si="33"/>
        <v>#REF!</v>
      </c>
      <c r="DF39" t="e">
        <f t="shared" si="33"/>
        <v>#REF!</v>
      </c>
      <c r="DG39" t="e">
        <f t="shared" si="33"/>
        <v>#REF!</v>
      </c>
      <c r="DH39" t="e">
        <f t="shared" si="33"/>
        <v>#REF!</v>
      </c>
      <c r="DI39" t="e">
        <f t="shared" si="33"/>
        <v>#REF!</v>
      </c>
      <c r="DJ39" t="e">
        <f t="shared" si="33"/>
        <v>#REF!</v>
      </c>
      <c r="DK39" t="e">
        <f t="shared" si="33"/>
        <v>#REF!</v>
      </c>
      <c r="DL39" t="e">
        <f t="shared" si="33"/>
        <v>#REF!</v>
      </c>
      <c r="DM39" t="e">
        <f t="shared" si="34"/>
        <v>#REF!</v>
      </c>
      <c r="DN39" t="e">
        <f t="shared" si="34"/>
        <v>#REF!</v>
      </c>
      <c r="DO39" t="e">
        <f t="shared" si="34"/>
        <v>#REF!</v>
      </c>
      <c r="DP39" t="e">
        <f t="shared" si="34"/>
        <v>#REF!</v>
      </c>
      <c r="DQ39" t="e">
        <f t="shared" si="34"/>
        <v>#REF!</v>
      </c>
      <c r="DR39" t="e">
        <f t="shared" si="34"/>
        <v>#REF!</v>
      </c>
      <c r="DS39" t="e">
        <f t="shared" si="34"/>
        <v>#REF!</v>
      </c>
      <c r="DT39" t="e">
        <f t="shared" si="34"/>
        <v>#REF!</v>
      </c>
      <c r="DU39" t="e">
        <f t="shared" si="34"/>
        <v>#REF!</v>
      </c>
      <c r="DV39" t="e">
        <f t="shared" si="34"/>
        <v>#REF!</v>
      </c>
      <c r="DW39" t="e">
        <f t="shared" si="34"/>
        <v>#REF!</v>
      </c>
      <c r="DX39" t="e">
        <f t="shared" si="34"/>
        <v>#REF!</v>
      </c>
    </row>
    <row r="40" spans="1:128" x14ac:dyDescent="0.3">
      <c r="A40" s="423" t="str">
        <f t="shared" si="16"/>
        <v>31P</v>
      </c>
      <c r="B40" t="str">
        <f t="shared" si="17"/>
        <v>1_Dirección Distrital de Desarrollo Institucional</v>
      </c>
      <c r="C40">
        <f t="shared" si="8"/>
        <v>1</v>
      </c>
      <c r="D40" t="str">
        <f t="shared" si="0"/>
        <v>Dirección Distrital de Desarrollo Institucional</v>
      </c>
      <c r="E40" t="str">
        <f t="shared" si="1"/>
        <v>ddi</v>
      </c>
      <c r="F40" s="208" t="str">
        <f>'Sub. Técnica'!D17</f>
        <v>31P</v>
      </c>
      <c r="G40" t="str">
        <f t="shared" si="30"/>
        <v>Constante</v>
      </c>
      <c r="H40" t="str">
        <f t="shared" si="30"/>
        <v>Porcentaje</v>
      </c>
      <c r="I40" t="str">
        <f t="shared" si="30"/>
        <v>No Disponible / No Aplica</v>
      </c>
      <c r="J40">
        <f t="shared" si="30"/>
        <v>0.8</v>
      </c>
      <c r="K40" t="str">
        <f>+IFERROR(VLOOKUP($F40,Subtecnica_1,MATCH(K$5,'Sub. Técnica'!$D$9:$V$9,0),0),"")</f>
        <v>Constante</v>
      </c>
      <c r="L40" t="str">
        <f>+IFERROR(VLOOKUP($F40,Subtecnica_1,MATCH(L$5,'Sub. Técnica'!$D$9:$V$9,0),0),"")</f>
        <v/>
      </c>
      <c r="M40">
        <f t="shared" si="35"/>
        <v>0</v>
      </c>
      <c r="N40">
        <f>+IFERROR(VLOOKUP($F40,Subtecnica_1,MATCH(N$5,'Sub. Técnica'!$D$9:$V$9,0),0),"")</f>
        <v>0</v>
      </c>
      <c r="O40">
        <f>+IFERROR(VLOOKUP($F40,Subtecnica_1,MATCH(O$5,'Sub. Técnica'!$D$9:$V$9,0),0),"")</f>
        <v>0</v>
      </c>
      <c r="P40">
        <f>+IFERROR(VLOOKUP($F40,Subtecnica_1,MATCH(P$5,'Sub. Técnica'!$D$9:$V$9,0),0),"")</f>
        <v>0</v>
      </c>
      <c r="Q40">
        <f>+IFERROR(VLOOKUP($F40,Subtecnica_1,MATCH(Q$5,'Sub. Técnica'!$D$9:$V$9,0),0),"")</f>
        <v>0</v>
      </c>
      <c r="R40">
        <f>+IFERROR(VLOOKUP($F40,Subtecnica_1,MATCH(R$5,'Sub. Técnica'!$D$9:$V$9,0),0),"")</f>
        <v>0</v>
      </c>
      <c r="S40">
        <f>+IFERROR(VLOOKUP($F40,Subtecnica_1,MATCH(S$5,'Sub. Técnica'!$D$9:$V$9,0),0),"")</f>
        <v>80</v>
      </c>
      <c r="T40">
        <f>+IFERROR(VLOOKUP($F40,Subtecnica_1,MATCH(T$5,'Sub. Técnica'!$D$9:$V$9,0),0),"")</f>
        <v>80</v>
      </c>
      <c r="U40" t="str">
        <f>+IFERROR(VLOOKUP($F40,Subtecnica_1,MATCH(U$5,'Sub. Técnica'!$D$9:$V$9,0),0),"")</f>
        <v xml:space="preserve">Establecer el grado de  satisfacción de los servidores formados </v>
      </c>
      <c r="V40">
        <f>+IFERROR(VLOOKUP($F40,Subtecnica_1,MATCH(V$5,'Sub. Técnica'!$D$9:$V$9,0),0),"")</f>
        <v>0</v>
      </c>
      <c r="W40" t="str">
        <f>+IFERROR(VLOOKUP($F40,Subtecnica_1,MATCH(W$5,'Sub. Técnica'!$D$9:$V$9,0),0),"")</f>
        <v xml:space="preserve">Conocer la percepión de los servidores públicos formados  para realizar mejorar en los proceso de la estrategia del programa de formación </v>
      </c>
      <c r="X40" t="str">
        <f>+IFERROR(VLOOKUP($F40,Subtecnica_1,MATCH(X$5,'Sub. Técnica'!$D$9:$V$9,0),0),"")</f>
        <v>Encuesta de satisfacción
Informe de análisis de la encuesta</v>
      </c>
      <c r="Y40">
        <f>+IFERROR(IF(ISBLANK(VLOOKUP(CONCATENATE($F40,"_",Y$4),Subtecnica_2,MATCH(Y$3,'Sub. Técnica'!$F$26:$O$26,0),0)),"",VLOOKUP(CONCATENATE($F40,"_",Y$4),Subtecnica_2,MATCH(Y$3,'Sub. Técnica'!$F$26:$O$26,0),0)),"")</f>
        <v>0</v>
      </c>
      <c r="Z40">
        <f>+IFERROR(IF(ISBLANK(VLOOKUP(CONCATENATE($F40,"_",Z$4),Subtecnica_2,MATCH(Z$3,'Sub. Técnica'!$F$26:$O$26,0),0)),"",VLOOKUP(CONCATENATE($F40,"_",Z$4),Subtecnica_2,MATCH(Z$3,'Sub. Técnica'!$F$26:$O$26,0),0)),"")</f>
        <v>0</v>
      </c>
      <c r="AA40" t="str">
        <f>+IFERROR(IF(ISBLANK(VLOOKUP(CONCATENATE($F40,"_",AA$4),Subtecnica_2,MATCH(AA$3,'Sub. Técnica'!$F$26:$O$26,0),0)),"",VLOOKUP(CONCATENATE($F40,"_",AA$4),Subtecnica_2,MATCH(AA$3,'Sub. Técnica'!$F$26:$O$26,0),0)),"")</f>
        <v xml:space="preserve">La aplicaciòn de encuestas se realizarà en el mes de Junio de acuerdo a la programaciòn del Indicador. </v>
      </c>
      <c r="AB40" t="str">
        <f>+IFERROR(IF(ISBLANK(VLOOKUP(CONCATENATE($F40,"_",AB$4),Subtecnica_2,MATCH(AB$3,'Sub. Técnica'!$F$26:$O$26,0),0)),"",VLOOKUP(CONCATENATE($F40,"_",AB$4),Subtecnica_2,MATCH(AB$3,'Sub. Técnica'!$F$26:$O$26,0),0)),"")</f>
        <v xml:space="preserve">Este indicador esta programado para el Mes de Junio. </v>
      </c>
      <c r="AC40" t="str">
        <f>+IFERROR(IF(ISBLANK(VLOOKUP(CONCATENATE($F40,"_",AC$4),Subtecnica_2,MATCH(AC$3,'Sub. Técnica'!$F$26:$O$26,0),0)),"",VLOOKUP(CONCATENATE($F40,"_",AC$4),Subtecnica_2,MATCH(AC$3,'Sub. Técnica'!$F$26:$O$26,0),0)),"")</f>
        <v xml:space="preserve">Este indicador esta programado para el Mes de Junio. </v>
      </c>
      <c r="AD40">
        <f>+IFERROR(IF(ISBLANK(VLOOKUP(CONCATENATE($F40,"_",AD$4),Subtecnica_2,MATCH(AD$3,'Sub. Técnica'!$F$26:$O$26,0),0)),"",VLOOKUP(CONCATENATE($F40,"_",AD$4),Subtecnica_2,MATCH(AD$3,'Sub. Técnica'!$F$26:$O$26,0),0)),"")</f>
        <v>0</v>
      </c>
      <c r="AE40">
        <f>+IFERROR(IF(ISBLANK(VLOOKUP(CONCATENATE($F40,"_",AE$4),Subtecnica_2,MATCH(AE$3,'Sub. Técnica'!$F$26:$O$26,0),0)),"",VLOOKUP(CONCATENATE($F40,"_",AE$4),Subtecnica_2,MATCH(AE$3,'Sub. Técnica'!$F$26:$O$26,0),0)),"")</f>
        <v>0</v>
      </c>
      <c r="AF40" t="str">
        <f>+IFERROR(IF(ISBLANK(VLOOKUP(CONCATENATE($F40,"_",AF$4),Subtecnica_2,MATCH(AF$3,'Sub. Técnica'!$F$26:$O$26,0),0)),"",VLOOKUP(CONCATENATE($F40,"_",AF$4),Subtecnica_2,MATCH(AF$3,'Sub. Técnica'!$F$26:$O$26,0),0)),"")</f>
        <v xml:space="preserve">La aplicaciòn de encuestas se realizarà en el mes de Junio de acuerdo a la programaciòn del Indicador. </v>
      </c>
      <c r="AG40" t="str">
        <f>+IFERROR(IF(ISBLANK(VLOOKUP(CONCATENATE($F40,"_",AG$4),Subtecnica_2,MATCH(AG$3,'Sub. Técnica'!$F$26:$O$26,0),0)),"",VLOOKUP(CONCATENATE($F40,"_",AG$4),Subtecnica_2,MATCH(AG$3,'Sub. Técnica'!$F$26:$O$26,0),0)),"")</f>
        <v xml:space="preserve">Este indicador esta programado para el Mes de Junio. </v>
      </c>
      <c r="AH40" t="str">
        <f>+IFERROR(IF(ISBLANK(VLOOKUP(CONCATENATE($F40,"_",AH$4),Subtecnica_2,MATCH(AH$3,'Sub. Técnica'!$F$26:$O$26,0),0)),"",VLOOKUP(CONCATENATE($F40,"_",AH$4),Subtecnica_2,MATCH(AH$3,'Sub. Técnica'!$F$26:$O$26,0),0)),"")</f>
        <v xml:space="preserve">Este indicador esta programado para el Mes de Junio. </v>
      </c>
      <c r="AI40">
        <f>+IFERROR(IF(ISBLANK(VLOOKUP(CONCATENATE($F40,"_",AI$4),Subtecnica_2,MATCH(AI$3,'Sub. Técnica'!$F$26:$O$26,0),0)),"",VLOOKUP(CONCATENATE($F40,"_",AI$4),Subtecnica_2,MATCH(AI$3,'Sub. Técnica'!$F$26:$O$26,0),0)),"")</f>
        <v>0</v>
      </c>
      <c r="AJ40">
        <f>+IFERROR(IF(ISBLANK(VLOOKUP(CONCATENATE($F40,"_",AJ$4),Subtecnica_2,MATCH(AJ$3,'Sub. Técnica'!$F$26:$O$26,0),0)),"",VLOOKUP(CONCATENATE($F40,"_",AJ$4),Subtecnica_2,MATCH(AJ$3,'Sub. Técnica'!$F$26:$O$26,0),0)),"")</f>
        <v>0</v>
      </c>
      <c r="AK40" t="str">
        <f>+IFERROR(IF(ISBLANK(VLOOKUP(CONCATENATE($F40,"_",AK$4),Subtecnica_2,MATCH(AK$3,'Sub. Técnica'!$F$26:$O$26,0),0)),"",VLOOKUP(CONCATENATE($F40,"_",AK$4),Subtecnica_2,MATCH(AK$3,'Sub. Técnica'!$F$26:$O$26,0),0)),"")</f>
        <v xml:space="preserve">La aplicaciòn de encuestas se realizarà en el mes de Junio de acuerdo a la programaciòn del Indicador. </v>
      </c>
      <c r="AL40" t="str">
        <f>+IFERROR(IF(ISBLANK(VLOOKUP(CONCATENATE($F40,"_",AL$4),Subtecnica_2,MATCH(AL$3,'Sub. Técnica'!$F$26:$O$26,0),0)),"",VLOOKUP(CONCATENATE($F40,"_",AL$4),Subtecnica_2,MATCH(AL$3,'Sub. Técnica'!$F$26:$O$26,0),0)),"")</f>
        <v xml:space="preserve">Este indicador esta programado para el Mes de Junio. </v>
      </c>
      <c r="AM40" t="str">
        <f>+IFERROR(IF(ISBLANK(VLOOKUP(CONCATENATE($F40,"_",AM$4),Subtecnica_2,MATCH(AM$3,'Sub. Técnica'!$F$26:$O$26,0),0)),"",VLOOKUP(CONCATENATE($F40,"_",AM$4),Subtecnica_2,MATCH(AM$3,'Sub. Técnica'!$F$26:$O$26,0),0)),"")</f>
        <v xml:space="preserve">Este indicador esta programado para el Mes de Junio. </v>
      </c>
      <c r="AN40">
        <f>+IFERROR(IF(ISBLANK(VLOOKUP(CONCATENATE($F40,"_",AN$4),Subtecnica_2,MATCH(AN$3,'Sub. Técnica'!$F$26:$O$26,0),0)),"",VLOOKUP(CONCATENATE($F40,"_",AN$4),Subtecnica_2,MATCH(AN$3,'Sub. Técnica'!$F$26:$O$26,0),0)),"")</f>
        <v>0</v>
      </c>
      <c r="AO40">
        <f>+IFERROR(IF(ISBLANK(VLOOKUP(CONCATENATE($F40,"_",AO$4),Subtecnica_2,MATCH(AO$3,'Sub. Técnica'!$F$26:$O$26,0),0)),"",VLOOKUP(CONCATENATE($F40,"_",AO$4),Subtecnica_2,MATCH(AO$3,'Sub. Técnica'!$F$26:$O$26,0),0)),"")</f>
        <v>0</v>
      </c>
      <c r="AP40" t="str">
        <f>+IFERROR(IF(ISBLANK(VLOOKUP(CONCATENATE($F40,"_",AP$4),Subtecnica_2,MATCH(AP$3,'Sub. Técnica'!$F$26:$O$26,0),0)),"",VLOOKUP(CONCATENATE($F40,"_",AP$4),Subtecnica_2,MATCH(AP$3,'Sub. Técnica'!$F$26:$O$26,0),0)),"")</f>
        <v xml:space="preserve">La aplicaciòn de encuestas se realizarà en el mes de Junio de acuerdo a la programaciòn del Indicador. </v>
      </c>
      <c r="AQ40" t="str">
        <f>+IFERROR(IF(ISBLANK(VLOOKUP(CONCATENATE($F40,"_",AQ$4),Subtecnica_2,MATCH(AQ$3,'Sub. Técnica'!$F$26:$O$26,0),0)),"",VLOOKUP(CONCATENATE($F40,"_",AQ$4),Subtecnica_2,MATCH(AQ$3,'Sub. Técnica'!$F$26:$O$26,0),0)),"")</f>
        <v xml:space="preserve">Este indicador esta programado para el Mes de Junio. </v>
      </c>
      <c r="AR40" t="str">
        <f>+IFERROR(IF(ISBLANK(VLOOKUP(CONCATENATE($F40,"_",AR$4),Subtecnica_2,MATCH(AR$3,'Sub. Técnica'!$F$26:$O$26,0),0)),"",VLOOKUP(CONCATENATE($F40,"_",AR$4),Subtecnica_2,MATCH(AR$3,'Sub. Técnica'!$F$26:$O$26,0),0)),"")</f>
        <v xml:space="preserve">Este indicador esta programado para el Mes de Junio. </v>
      </c>
      <c r="AS40">
        <f>+IFERROR(IF(ISBLANK(VLOOKUP(CONCATENATE($F40,"_",AS$4),Subtecnica_2,MATCH(AS$3,'Sub. Técnica'!$F$26:$O$26,0),0)),"",VLOOKUP(CONCATENATE($F40,"_",AS$4),Subtecnica_2,MATCH(AS$3,'Sub. Técnica'!$F$26:$O$26,0),0)),"")</f>
        <v>0</v>
      </c>
      <c r="AT40">
        <f>+IFERROR(IF(ISBLANK(VLOOKUP(CONCATENATE($F40,"_",AT$4),Subtecnica_2,MATCH(AT$3,'Sub. Técnica'!$F$26:$O$26,0),0)),"",VLOOKUP(CONCATENATE($F40,"_",AT$4),Subtecnica_2,MATCH(AT$3,'Sub. Técnica'!$F$26:$O$26,0),0)),"")</f>
        <v>0</v>
      </c>
      <c r="AU40" t="str">
        <f>+IFERROR(IF(ISBLANK(VLOOKUP(CONCATENATE($F40,"_",AU$4),Subtecnica_2,MATCH(AU$3,'Sub. Técnica'!$F$26:$O$26,0),0)),"",VLOOKUP(CONCATENATE($F40,"_",AU$4),Subtecnica_2,MATCH(AU$3,'Sub. Técnica'!$F$26:$O$26,0),0)),"")</f>
        <v xml:space="preserve">La aplicaciòn de encuestas se realizarà en el mes de Junio de acuerdo a la programaciòn del Indicador. </v>
      </c>
      <c r="AV40" t="str">
        <f>+IFERROR(IF(ISBLANK(VLOOKUP(CONCATENATE($F40,"_",AV$4),Subtecnica_2,MATCH(AV$3,'Sub. Técnica'!$F$26:$O$26,0),0)),"",VLOOKUP(CONCATENATE($F40,"_",AV$4),Subtecnica_2,MATCH(AV$3,'Sub. Técnica'!$F$26:$O$26,0),0)),"")</f>
        <v xml:space="preserve">Este indicador esta programado para el Mes de Junio. </v>
      </c>
      <c r="AW40" t="str">
        <f>+IFERROR(IF(ISBLANK(VLOOKUP(CONCATENATE($F40,"_",AW$4),Subtecnica_2,MATCH(AW$3,'Sub. Técnica'!$F$26:$O$26,0),0)),"",VLOOKUP(CONCATENATE($F40,"_",AW$4),Subtecnica_2,MATCH(AW$3,'Sub. Técnica'!$F$26:$O$26,0),0)),"")</f>
        <v xml:space="preserve">Este indicador esta programado para el Mes de Junio. </v>
      </c>
      <c r="AX40">
        <f>+IFERROR(IF(ISBLANK(VLOOKUP(CONCATENATE($F40,"_",AX$4),Subtecnica_2,MATCH(AX$3,'Sub. Técnica'!$F$26:$O$26,0),0)),"",VLOOKUP(CONCATENATE($F40,"_",AX$4),Subtecnica_2,MATCH(AX$3,'Sub. Técnica'!$F$26:$O$26,0),0)),"")</f>
        <v>90.8</v>
      </c>
      <c r="AY40">
        <f>+IFERROR(IF(ISBLANK(VLOOKUP(CONCATENATE($F40,"_",AY$4),Subtecnica_2,MATCH(AY$3,'Sub. Técnica'!$F$26:$O$26,0),0)),"",VLOOKUP(CONCATENATE($F40,"_",AY$4),Subtecnica_2,MATCH(AY$3,'Sub. Técnica'!$F$26:$O$26,0),0)),"")</f>
        <v>100</v>
      </c>
      <c r="AZ40" t="str">
        <f>+IFERROR(IF(ISBLANK(VLOOKUP(CONCATENATE($F40,"_",AZ$4),Subtecnica_2,MATCH(AZ$3,'Sub. Técnica'!$F$26:$O$26,0),0)),"",VLOOKUP(CONCATENATE($F40,"_",AZ$4),Subtecnica_2,MATCH(AZ$3,'Sub. Técnica'!$F$26:$O$26,0),0)),"")</f>
        <v>Se aplica encuesta de satisfacción del programa de formación Soy 10 Aprende, liderado por la Dirección y Subdirección Técnica de Desarrollo Institucional, correspondiente al primer semestre 2020 de los servidores que participaron en  la oferta académica desarrollada: 
Gobernanza pública, contextualización desde los pilares de transparencia, participación y colaboración
Teletrabajo para Servidores en Teletrabajo Extraordinario y Trabajo en Casa
Introducción a las Políticas Públicas: Conceptos Básicos
Cultura de Integridad para Gestores.</v>
      </c>
      <c r="BA40" t="str">
        <f>+IFERROR(IF(ISBLANK(VLOOKUP(CONCATENATE($F40,"_",BA$4),Subtecnica_2,MATCH(BA$3,'Sub. Técnica'!$F$26:$O$26,0),0)),"",VLOOKUP(CONCATENATE($F40,"_",BA$4),Subtecnica_2,MATCH(BA$3,'Sub. Técnica'!$F$26:$O$26,0),0)),"")</f>
        <v xml:space="preserve">No se reportaron retrasos ni dificultades en la gestión de acompañamiento de oferta academica Soy10 Aprende. </v>
      </c>
      <c r="BB40" t="str">
        <f>+IFERROR(IF(ISBLANK(VLOOKUP(CONCATENATE($F40,"_",BB$4),Subtecnica_2,MATCH(BB$3,'Sub. Técnica'!$F$26:$O$26,0),0)),"",VLOOKUP(CONCATENATE($F40,"_",BB$4),Subtecnica_2,MATCH(BB$3,'Sub. Técnica'!$F$26:$O$26,0),0)),"")</f>
        <v>Como beneficios es importante resaltar que los encuestados, manifiestan que participarían nuevamente en procesos de formación Soy 10 Aprende para la siguiente vigencia, esto además de potencializar el programa, genera nuevos retos en lo que corresponde a plataforma tecnológica, gestión tutor, administración, material de estudio y soporte entre otras.</v>
      </c>
      <c r="BC40">
        <f t="shared" si="10"/>
        <v>90.8</v>
      </c>
      <c r="BD40">
        <f t="shared" si="10"/>
        <v>100</v>
      </c>
      <c r="BE40" s="129" t="str">
        <f>+IFERROR(IF(ISBLANK(VLOOKUP(CONCATENATE($F40,"_",BE$4),P1143_4,MATCH(BE$3,PAAC!$E$19:$M$19,0),0)),"",VLOOKUP(CONCATENATE($F40,"_",BE$4),P1143_4,MATCH(BE$3,PAAC!$E$19:$M$19,0),0)),"")</f>
        <v/>
      </c>
      <c r="BF40" s="129" t="str">
        <f>+IFERROR(IF(ISBLANK(VLOOKUP(CONCATENATE($F40,"_",BF$4),P1143_4,MATCH(BF$3,PAAC!$E$19:$M$19,0),0)),"",VLOOKUP(CONCATENATE($F40,"_",BF$4),P1143_4,MATCH(BF$3,PAAC!$E$19:$M$19,0),0)),"")</f>
        <v/>
      </c>
      <c r="BG40" s="129" t="str">
        <f>+IFERROR(IF(ISBLANK(VLOOKUP(CONCATENATE($F40,"_",BG$4),P1143_4,MATCH(BG$3,PAAC!$E$19:$M$19,0),0)),"",VLOOKUP(CONCATENATE($F40,"_",BG$4),P1143_4,MATCH(BG$3,PAAC!$E$19:$M$19,0),0)),"")</f>
        <v/>
      </c>
      <c r="BH40" s="129" t="str">
        <f>+IFERROR(IF(ISBLANK(VLOOKUP(CONCATENATE($F40,"_",BH$4),P1143_4,MATCH(BH$3,PAAC!$E$19:$M$19,0),0)),"",VLOOKUP(CONCATENATE($F40,"_",BH$4),P1143_4,MATCH(BH$3,PAAC!$E$19:$M$19,0),0)),"")</f>
        <v/>
      </c>
      <c r="BI40" s="129" t="str">
        <f>+IFERROR(IF(ISBLANK(VLOOKUP(CONCATENATE($F40,"_",BI$4),P1143_4,MATCH(BI$3,PAAC!$E$19:$M$19,0),0)),"",VLOOKUP(CONCATENATE($F40,"_",BI$4),P1143_4,MATCH(BI$3,PAAC!$E$19:$M$19,0),0)),"")</f>
        <v/>
      </c>
      <c r="BJ40" s="129" t="str">
        <f>+IFERROR(IF(ISBLANK(VLOOKUP(CONCATENATE($F40,"_",BJ$4),P1143_4,MATCH(BJ$3,PAAC!$E$19:$M$19,0),0)),"",VLOOKUP(CONCATENATE($F40,"_",BJ$4),P1143_4,MATCH(BJ$3,PAAC!$E$19:$M$19,0),0)),"")</f>
        <v/>
      </c>
      <c r="BK40" s="129" t="str">
        <f>+IFERROR(IF(ISBLANK(VLOOKUP(CONCATENATE($F40,"_",BK$4),P1143_4,MATCH(BK$3,PAAC!$E$19:$M$19,0),0)),"",VLOOKUP(CONCATENATE($F40,"_",BK$4),P1143_4,MATCH(BK$3,PAAC!$E$19:$M$19,0),0)),"")</f>
        <v/>
      </c>
      <c r="BL40" s="129" t="str">
        <f>+IFERROR(IF(ISBLANK(VLOOKUP(CONCATENATE($F40,"_",BL$4),P1143_4,MATCH(BL$3,PAAC!$E$19:$M$19,0),0)),"",VLOOKUP(CONCATENATE($F40,"_",BL$4),P1143_4,MATCH(BL$3,PAAC!$E$19:$M$19,0),0)),"")</f>
        <v/>
      </c>
      <c r="BM40" s="129" t="str">
        <f>+IFERROR(IF(ISBLANK(VLOOKUP(CONCATENATE($F40,"_",BM$4),P1143_4,MATCH(BM$3,PAAC!$E$19:$M$19,0),0)),"",VLOOKUP(CONCATENATE($F40,"_",BM$4),P1143_4,MATCH(BM$3,PAAC!$E$19:$M$19,0),0)),"")</f>
        <v/>
      </c>
      <c r="BN40" s="129" t="str">
        <f>+IFERROR(IF(ISBLANK(VLOOKUP(CONCATENATE($F40,"_",BN$4),P1143_4,MATCH(BN$3,PAAC!$E$19:$M$19,0),0)),"",VLOOKUP(CONCATENATE($F40,"_",BN$4),P1143_4,MATCH(BN$3,PAAC!$E$19:$M$19,0),0)),"")</f>
        <v/>
      </c>
      <c r="BO40" s="129" t="str">
        <f>+IFERROR(IF(ISBLANK(VLOOKUP(CONCATENATE($F40,"_",BO$4),P1143_4,MATCH(BO$3,PAAC!$E$19:$M$19,0),0)),"",VLOOKUP(CONCATENATE($F40,"_",BO$4),P1143_4,MATCH(BO$3,PAAC!$E$19:$M$19,0),0)),"")</f>
        <v/>
      </c>
      <c r="BP40" s="129" t="str">
        <f>+IFERROR(IF(ISBLANK(VLOOKUP(CONCATENATE($F40,"_",BP$4),P1143_4,MATCH(BP$3,PAAC!$E$19:$M$19,0),0)),"",VLOOKUP(CONCATENATE($F40,"_",BP$4),P1143_4,MATCH(BP$3,PAAC!$E$19:$M$19,0),0)),"")</f>
        <v/>
      </c>
      <c r="BQ40" s="129" t="str">
        <f>+IFERROR(IF(ISBLANK(VLOOKUP(CONCATENATE($F40,"_",BQ$4),P1143_4,MATCH(BQ$3,PAAC!$E$19:$M$19,0),0)),"",VLOOKUP(CONCATENATE($F40,"_",BQ$4),P1143_4,MATCH(BQ$3,PAAC!$E$19:$M$19,0),0)),"")</f>
        <v/>
      </c>
      <c r="BR40" s="129" t="str">
        <f>+IFERROR(IF(ISBLANK(VLOOKUP(CONCATENATE($F40,"_",BR$4),P1143_4,MATCH(BR$3,PAAC!$E$19:$M$19,0),0)),"",VLOOKUP(CONCATENATE($F40,"_",BR$4),P1143_4,MATCH(BR$3,PAAC!$E$19:$M$19,0),0)),"")</f>
        <v/>
      </c>
      <c r="BS40" s="129" t="str">
        <f>+IFERROR(IF(ISBLANK(VLOOKUP(CONCATENATE($F40,"_",BS$4),P1143_4,MATCH(BS$3,PAAC!$E$19:$M$19,0),0)),"",VLOOKUP(CONCATENATE($F40,"_",BS$4),P1143_4,MATCH(BS$3,PAAC!$E$19:$M$19,0),0)),"")</f>
        <v/>
      </c>
      <c r="BT40" s="129" t="str">
        <f>+IFERROR(IF(ISBLANK(VLOOKUP(CONCATENATE($F40,"_",BT$4),P1143_4,MATCH(BT$3,PAAC!$E$19:$M$19,0),0)),"",VLOOKUP(CONCATENATE($F40,"_",BT$4),P1143_4,MATCH(BT$3,PAAC!$E$19:$M$19,0),0)),"")</f>
        <v/>
      </c>
      <c r="BU40" s="129" t="str">
        <f>+IFERROR(IF(ISBLANK(VLOOKUP(CONCATENATE($F40,"_",BU$4),P1143_4,MATCH(BU$3,PAAC!$E$19:$M$19,0),0)),"",VLOOKUP(CONCATENATE($F40,"_",BU$4),P1143_4,MATCH(BU$3,PAAC!$E$19:$M$19,0),0)),"")</f>
        <v/>
      </c>
      <c r="BV40" s="129" t="str">
        <f>+IFERROR(IF(ISBLANK(VLOOKUP(CONCATENATE($F40,"_",BV$4),P1143_4,MATCH(BV$3,PAAC!$E$19:$M$19,0),0)),"",VLOOKUP(CONCATENATE($F40,"_",BV$4),P1143_4,MATCH(BV$3,PAAC!$E$19:$M$19,0),0)),"")</f>
        <v/>
      </c>
      <c r="BW40" s="129" t="str">
        <f>+IFERROR(IF(ISBLANK(VLOOKUP(CONCATENATE($F40,"_",BW$4),P1143_4,MATCH(BW$3,PAAC!$E$19:$M$19,0),0)),"",VLOOKUP(CONCATENATE($F40,"_",BW$4),P1143_4,MATCH(BW$3,PAAC!$E$19:$M$19,0),0)),"")</f>
        <v/>
      </c>
      <c r="BX40" s="129" t="str">
        <f>+IFERROR(IF(ISBLANK(VLOOKUP(CONCATENATE($F40,"_",BX$4),P1143_4,MATCH(BX$3,PAAC!$E$19:$M$19,0),0)),"",VLOOKUP(CONCATENATE($F40,"_",BX$4),P1143_4,MATCH(BX$3,PAAC!$E$19:$M$19,0),0)),"")</f>
        <v/>
      </c>
      <c r="BY40" s="129" t="str">
        <f>+IFERROR(IF(ISBLANK(VLOOKUP(CONCATENATE($F40,"_",BY$4),P1143_4,MATCH(BY$3,PAAC!$E$19:$M$19,0),0)),"",VLOOKUP(CONCATENATE($F40,"_",BY$4),P1143_4,MATCH(BY$3,PAAC!$E$19:$M$19,0),0)),"")</f>
        <v/>
      </c>
      <c r="BZ40" s="129" t="str">
        <f>+IFERROR(IF(ISBLANK(VLOOKUP(CONCATENATE($F40,"_",BZ$4),P1143_4,MATCH(BZ$3,PAAC!$E$19:$M$19,0),0)),"",VLOOKUP(CONCATENATE($F40,"_",BZ$4),P1143_4,MATCH(BZ$3,PAAC!$E$19:$M$19,0),0)),"")</f>
        <v/>
      </c>
      <c r="CA40" s="129" t="str">
        <f>+IFERROR(IF(ISBLANK(VLOOKUP(CONCATENATE($F40,"_",CA$4),P1143_4,MATCH(CA$3,PAAC!$E$19:$M$19,0),0)),"",VLOOKUP(CONCATENATE($F40,"_",CA$4),P1143_4,MATCH(CA$3,PAAC!$E$19:$M$19,0),0)),"")</f>
        <v/>
      </c>
      <c r="CB40" s="129" t="str">
        <f>+IFERROR(IF(ISBLANK(VLOOKUP(CONCATENATE($F40,"_",CB$4),P1143_4,MATCH(CB$3,PAAC!$E$19:$M$19,0),0)),"",VLOOKUP(CONCATENATE($F40,"_",CB$4),P1143_4,MATCH(CB$3,PAAC!$E$19:$M$19,0),0)),"")</f>
        <v/>
      </c>
      <c r="CC40" s="129" t="str">
        <f>+IFERROR(IF(ISBLANK(VLOOKUP(CONCATENATE($F40,"_",CC$4),P1143_4,MATCH(CC$3,PAAC!$E$19:$M$19,0),0)),"",VLOOKUP(CONCATENATE($F40,"_",CC$4),P1143_4,MATCH(CC$3,PAAC!$E$19:$M$19,0),0)),"")</f>
        <v/>
      </c>
      <c r="CD40" s="129" t="str">
        <f t="shared" si="11"/>
        <v/>
      </c>
      <c r="CE40" s="129" t="str">
        <f t="shared" si="3"/>
        <v/>
      </c>
      <c r="CF40" s="129" t="str">
        <f t="shared" si="4"/>
        <v/>
      </c>
      <c r="CG40" s="129" t="str">
        <f t="shared" si="5"/>
        <v/>
      </c>
      <c r="CH40" s="129" t="str">
        <f t="shared" si="6"/>
        <v/>
      </c>
      <c r="CI40" t="str">
        <f t="shared" si="31"/>
        <v>Cumple</v>
      </c>
      <c r="CJ40" t="str">
        <f t="shared" si="31"/>
        <v>No programó</v>
      </c>
      <c r="CK40" t="str">
        <f t="shared" si="31"/>
        <v>No aplica</v>
      </c>
      <c r="CL40" t="str">
        <f t="shared" si="31"/>
        <v>No aplica</v>
      </c>
      <c r="CM40" t="str">
        <f t="shared" si="31"/>
        <v>No aplica</v>
      </c>
      <c r="CN40" t="str">
        <f t="shared" si="31"/>
        <v>No aplica</v>
      </c>
      <c r="CO40">
        <f t="shared" si="31"/>
        <v>0</v>
      </c>
      <c r="CP40" t="str">
        <f t="shared" si="31"/>
        <v>No aplica</v>
      </c>
      <c r="CQ40" t="str">
        <f t="shared" si="31"/>
        <v>Oportuna</v>
      </c>
      <c r="CR40" t="str">
        <f t="shared" si="31"/>
        <v>Para el periodo de reporte el indicador no presenta avance teniendo en cuenta que su programación es para el mes de junio</v>
      </c>
      <c r="CS40" t="str">
        <f t="shared" si="32"/>
        <v>Marcela Andrea García Guerrero</v>
      </c>
      <c r="CT40">
        <f t="shared" si="32"/>
        <v>0</v>
      </c>
      <c r="CU40" t="str">
        <f t="shared" si="32"/>
        <v>Cumplido</v>
      </c>
      <c r="CV40" t="str">
        <f t="shared" si="32"/>
        <v>Adecuado</v>
      </c>
      <c r="CW40" t="str">
        <f t="shared" si="32"/>
        <v>Coherente</v>
      </c>
      <c r="CX40" t="str">
        <f t="shared" si="32"/>
        <v>Concuerda</v>
      </c>
      <c r="CY40" t="str">
        <f t="shared" si="32"/>
        <v>Concuerda</v>
      </c>
      <c r="CZ40">
        <f t="shared" si="32"/>
        <v>0</v>
      </c>
      <c r="DA40" t="str">
        <f t="shared" si="32"/>
        <v>Adecuado</v>
      </c>
      <c r="DB40" t="str">
        <f t="shared" si="32"/>
        <v>Oportuna</v>
      </c>
      <c r="DC40" t="str">
        <f t="shared" si="33"/>
        <v>Ninguna</v>
      </c>
      <c r="DD40" t="str">
        <f t="shared" si="33"/>
        <v>Marcela Andrea García Guerrero</v>
      </c>
      <c r="DE40" t="e">
        <f t="shared" si="33"/>
        <v>#REF!</v>
      </c>
      <c r="DF40" t="e">
        <f t="shared" si="33"/>
        <v>#REF!</v>
      </c>
      <c r="DG40" t="e">
        <f t="shared" si="33"/>
        <v>#REF!</v>
      </c>
      <c r="DH40" t="e">
        <f t="shared" si="33"/>
        <v>#REF!</v>
      </c>
      <c r="DI40" t="e">
        <f t="shared" si="33"/>
        <v>#REF!</v>
      </c>
      <c r="DJ40" t="e">
        <f t="shared" si="33"/>
        <v>#REF!</v>
      </c>
      <c r="DK40" t="e">
        <f t="shared" si="33"/>
        <v>#REF!</v>
      </c>
      <c r="DL40" t="e">
        <f t="shared" si="33"/>
        <v>#REF!</v>
      </c>
      <c r="DM40" t="e">
        <f t="shared" si="34"/>
        <v>#REF!</v>
      </c>
      <c r="DN40" t="e">
        <f t="shared" si="34"/>
        <v>#REF!</v>
      </c>
      <c r="DO40" t="e">
        <f t="shared" si="34"/>
        <v>#REF!</v>
      </c>
      <c r="DP40" t="e">
        <f t="shared" si="34"/>
        <v>#REF!</v>
      </c>
      <c r="DQ40" t="e">
        <f t="shared" si="34"/>
        <v>#REF!</v>
      </c>
      <c r="DR40" t="e">
        <f t="shared" si="34"/>
        <v>#REF!</v>
      </c>
      <c r="DS40" t="e">
        <f t="shared" si="34"/>
        <v>#REF!</v>
      </c>
      <c r="DT40" t="e">
        <f t="shared" si="34"/>
        <v>#REF!</v>
      </c>
      <c r="DU40" t="e">
        <f t="shared" si="34"/>
        <v>#REF!</v>
      </c>
      <c r="DV40" t="e">
        <f t="shared" si="34"/>
        <v>#REF!</v>
      </c>
      <c r="DW40" t="e">
        <f t="shared" si="34"/>
        <v>#REF!</v>
      </c>
      <c r="DX40" t="e">
        <f t="shared" si="34"/>
        <v>#REF!</v>
      </c>
    </row>
    <row r="41" spans="1:128" x14ac:dyDescent="0.3">
      <c r="A41" s="423" t="str">
        <f>+F41</f>
        <v>31Q</v>
      </c>
      <c r="B41" t="str">
        <f>+C41&amp;"_"&amp;D41</f>
        <v>2_Dirección Distrital de Desarrollo Institucional</v>
      </c>
      <c r="C41">
        <f t="shared" si="8"/>
        <v>2</v>
      </c>
      <c r="D41" t="str">
        <f t="shared" si="0"/>
        <v>Dirección Distrital de Desarrollo Institucional</v>
      </c>
      <c r="E41" t="str">
        <f>+VLOOKUP(D41,responsables,8,0)</f>
        <v>ddi</v>
      </c>
      <c r="F41" s="208" t="str">
        <f>'Sub. Técnica'!D18</f>
        <v>31Q</v>
      </c>
      <c r="G41" t="str">
        <f t="shared" si="30"/>
        <v>Constante</v>
      </c>
      <c r="H41" t="str">
        <f t="shared" si="30"/>
        <v>Porcentaje</v>
      </c>
      <c r="I41" t="str">
        <f t="shared" si="30"/>
        <v>No Disponible / No Aplica</v>
      </c>
      <c r="J41">
        <f t="shared" si="30"/>
        <v>0.8</v>
      </c>
      <c r="K41" t="str">
        <f>+IFERROR(VLOOKUP($F41,Subtecnica_1,MATCH(K$5,'Sub. Técnica'!$D$9:$V$9,0),0),"")</f>
        <v>Constante</v>
      </c>
      <c r="L41" t="str">
        <f>+IFERROR(VLOOKUP($F41,Subtecnica_1,MATCH(L$5,'Sub. Técnica'!$D$9:$V$9,0),0),"")</f>
        <v/>
      </c>
      <c r="M41">
        <f t="shared" si="35"/>
        <v>0</v>
      </c>
      <c r="N41">
        <f>+IFERROR(VLOOKUP($F41,Subtecnica_1,MATCH(N$5,'Sub. Técnica'!$D$9:$V$9,0),0),"")</f>
        <v>0</v>
      </c>
      <c r="O41">
        <f>+IFERROR(VLOOKUP($F41,Subtecnica_1,MATCH(O$5,'Sub. Técnica'!$D$9:$V$9,0),0),"")</f>
        <v>0</v>
      </c>
      <c r="P41">
        <f>+IFERROR(VLOOKUP($F41,Subtecnica_1,MATCH(P$5,'Sub. Técnica'!$D$9:$V$9,0),0),"")</f>
        <v>0</v>
      </c>
      <c r="Q41">
        <f>+IFERROR(VLOOKUP($F41,Subtecnica_1,MATCH(Q$5,'Sub. Técnica'!$D$9:$V$9,0),0),"")</f>
        <v>0</v>
      </c>
      <c r="R41">
        <f>+IFERROR(VLOOKUP($F41,Subtecnica_1,MATCH(R$5,'Sub. Técnica'!$D$9:$V$9,0),0),"")</f>
        <v>0</v>
      </c>
      <c r="S41">
        <f>+IFERROR(VLOOKUP($F41,Subtecnica_1,MATCH(S$5,'Sub. Técnica'!$D$9:$V$9,0),0),"")</f>
        <v>80</v>
      </c>
      <c r="T41">
        <f>+IFERROR(VLOOKUP($F41,Subtecnica_1,MATCH(T$5,'Sub. Técnica'!$D$9:$V$9,0),0),"")</f>
        <v>80</v>
      </c>
      <c r="U41" t="str">
        <f>+IFERROR(VLOOKUP($F41,Subtecnica_1,MATCH(U$5,'Sub. Técnica'!$D$9:$V$9,0),0),"")</f>
        <v xml:space="preserve">Establecer el grado de  de satisfacción de  las entidades distritales frente a los servicios prestados </v>
      </c>
      <c r="V41">
        <f>+IFERROR(VLOOKUP($F41,Subtecnica_1,MATCH(V$5,'Sub. Técnica'!$D$9:$V$9,0),0),"")</f>
        <v>0</v>
      </c>
      <c r="W41" t="str">
        <f>+IFERROR(VLOOKUP($F41,Subtecnica_1,MATCH(W$5,'Sub. Técnica'!$D$9:$V$9,0),0),"")</f>
        <v>Conocer la percepión de las entidades públicas que han requeridos servicios para realizar la mejora de la oferta institucional</v>
      </c>
      <c r="X41" t="str">
        <f>+IFERROR(VLOOKUP($F41,Subtecnica_1,MATCH(X$5,'Sub. Técnica'!$D$9:$V$9,0),0),"")</f>
        <v>Encuesta de satisfacción
Informe de análisis de la encuesta</v>
      </c>
      <c r="Y41">
        <f>+IFERROR(IF(ISBLANK(VLOOKUP(CONCATENATE($F41,"_",Y$4),Subtecnica_2,MATCH(Y$3,'Sub. Técnica'!$F$26:$O$26,0),0)),"",VLOOKUP(CONCATENATE($F41,"_",Y$4),Subtecnica_2,MATCH(Y$3,'Sub. Técnica'!$F$26:$O$26,0),0)),"")</f>
        <v>0</v>
      </c>
      <c r="Z41">
        <f>+IFERROR(IF(ISBLANK(VLOOKUP(CONCATENATE($F41,"_",Z$4),Subtecnica_2,MATCH(Z$3,'Sub. Técnica'!$F$26:$O$26,0),0)),"",VLOOKUP(CONCATENATE($F41,"_",Z$4),Subtecnica_2,MATCH(Z$3,'Sub. Técnica'!$F$26:$O$26,0),0)),"")</f>
        <v>0</v>
      </c>
      <c r="AA41" t="str">
        <f>+IFERROR(IF(ISBLANK(VLOOKUP(CONCATENATE($F41,"_",AA$4),Subtecnica_2,MATCH(AA$3,'Sub. Técnica'!$F$26:$O$26,0),0)),"",VLOOKUP(CONCATENATE($F41,"_",AA$4),Subtecnica_2,MATCH(AA$3,'Sub. Técnica'!$F$26:$O$26,0),0)),"")</f>
        <v xml:space="preserve">La aplicaciòn de encuestas se realizarà en el mes de Junio de acuerdo a la programaciòn del Indicador. </v>
      </c>
      <c r="AB41" t="str">
        <f>+IFERROR(IF(ISBLANK(VLOOKUP(CONCATENATE($F41,"_",AB$4),Subtecnica_2,MATCH(AB$3,'Sub. Técnica'!$F$26:$O$26,0),0)),"",VLOOKUP(CONCATENATE($F41,"_",AB$4),Subtecnica_2,MATCH(AB$3,'Sub. Técnica'!$F$26:$O$26,0),0)),"")</f>
        <v xml:space="preserve">Este indicador esta programado para el Mes de Junio. </v>
      </c>
      <c r="AC41" t="str">
        <f>+IFERROR(IF(ISBLANK(VLOOKUP(CONCATENATE($F41,"_",AC$4),Subtecnica_2,MATCH(AC$3,'Sub. Técnica'!$F$26:$O$26,0),0)),"",VLOOKUP(CONCATENATE($F41,"_",AC$4),Subtecnica_2,MATCH(AC$3,'Sub. Técnica'!$F$26:$O$26,0),0)),"")</f>
        <v xml:space="preserve">Este indicador esta programado para el Mes de Junio. </v>
      </c>
      <c r="AD41">
        <f>+IFERROR(IF(ISBLANK(VLOOKUP(CONCATENATE($F41,"_",AD$4),Subtecnica_2,MATCH(AD$3,'Sub. Técnica'!$F$26:$O$26,0),0)),"",VLOOKUP(CONCATENATE($F41,"_",AD$4),Subtecnica_2,MATCH(AD$3,'Sub. Técnica'!$F$26:$O$26,0),0)),"")</f>
        <v>0</v>
      </c>
      <c r="AE41">
        <f>+IFERROR(IF(ISBLANK(VLOOKUP(CONCATENATE($F41,"_",AE$4),Subtecnica_2,MATCH(AE$3,'Sub. Técnica'!$F$26:$O$26,0),0)),"",VLOOKUP(CONCATENATE($F41,"_",AE$4),Subtecnica_2,MATCH(AE$3,'Sub. Técnica'!$F$26:$O$26,0),0)),"")</f>
        <v>0</v>
      </c>
      <c r="AF41" t="str">
        <f>+IFERROR(IF(ISBLANK(VLOOKUP(CONCATENATE($F41,"_",AF$4),Subtecnica_2,MATCH(AF$3,'Sub. Técnica'!$F$26:$O$26,0),0)),"",VLOOKUP(CONCATENATE($F41,"_",AF$4),Subtecnica_2,MATCH(AF$3,'Sub. Técnica'!$F$26:$O$26,0),0)),"")</f>
        <v xml:space="preserve">La aplicaciòn de encuestas se realizarà en el mes de Junio de acuerdo a la programaciòn del Indicador. </v>
      </c>
      <c r="AG41" t="str">
        <f>+IFERROR(IF(ISBLANK(VLOOKUP(CONCATENATE($F41,"_",AG$4),Subtecnica_2,MATCH(AG$3,'Sub. Técnica'!$F$26:$O$26,0),0)),"",VLOOKUP(CONCATENATE($F41,"_",AG$4),Subtecnica_2,MATCH(AG$3,'Sub. Técnica'!$F$26:$O$26,0),0)),"")</f>
        <v xml:space="preserve">Este indicador esta programado para el Mes de Junio. </v>
      </c>
      <c r="AH41" t="str">
        <f>+IFERROR(IF(ISBLANK(VLOOKUP(CONCATENATE($F41,"_",AH$4),Subtecnica_2,MATCH(AH$3,'Sub. Técnica'!$F$26:$O$26,0),0)),"",VLOOKUP(CONCATENATE($F41,"_",AH$4),Subtecnica_2,MATCH(AH$3,'Sub. Técnica'!$F$26:$O$26,0),0)),"")</f>
        <v xml:space="preserve">Este indicador esta programado para el Mes de Junio. </v>
      </c>
      <c r="AI41">
        <f>+IFERROR(IF(ISBLANK(VLOOKUP(CONCATENATE($F41,"_",AI$4),Subtecnica_2,MATCH(AI$3,'Sub. Técnica'!$F$26:$O$26,0),0)),"",VLOOKUP(CONCATENATE($F41,"_",AI$4),Subtecnica_2,MATCH(AI$3,'Sub. Técnica'!$F$26:$O$26,0),0)),"")</f>
        <v>0</v>
      </c>
      <c r="AJ41">
        <f>+IFERROR(IF(ISBLANK(VLOOKUP(CONCATENATE($F41,"_",AJ$4),Subtecnica_2,MATCH(AJ$3,'Sub. Técnica'!$F$26:$O$26,0),0)),"",VLOOKUP(CONCATENATE($F41,"_",AJ$4),Subtecnica_2,MATCH(AJ$3,'Sub. Técnica'!$F$26:$O$26,0),0)),"")</f>
        <v>0</v>
      </c>
      <c r="AK41" t="str">
        <f>+IFERROR(IF(ISBLANK(VLOOKUP(CONCATENATE($F41,"_",AK$4),Subtecnica_2,MATCH(AK$3,'Sub. Técnica'!$F$26:$O$26,0),0)),"",VLOOKUP(CONCATENATE($F41,"_",AK$4),Subtecnica_2,MATCH(AK$3,'Sub. Técnica'!$F$26:$O$26,0),0)),"")</f>
        <v xml:space="preserve">La aplicaciòn de encuestas se realizarà en el mes de Junio de acuerdo a la programaciòn del Indicador. </v>
      </c>
      <c r="AL41" t="str">
        <f>+IFERROR(IF(ISBLANK(VLOOKUP(CONCATENATE($F41,"_",AL$4),Subtecnica_2,MATCH(AL$3,'Sub. Técnica'!$F$26:$O$26,0),0)),"",VLOOKUP(CONCATENATE($F41,"_",AL$4),Subtecnica_2,MATCH(AL$3,'Sub. Técnica'!$F$26:$O$26,0),0)),"")</f>
        <v xml:space="preserve">Este indicador esta programado para el Mes de Junio. </v>
      </c>
      <c r="AM41" t="str">
        <f>+IFERROR(IF(ISBLANK(VLOOKUP(CONCATENATE($F41,"_",AM$4),Subtecnica_2,MATCH(AM$3,'Sub. Técnica'!$F$26:$O$26,0),0)),"",VLOOKUP(CONCATENATE($F41,"_",AM$4),Subtecnica_2,MATCH(AM$3,'Sub. Técnica'!$F$26:$O$26,0),0)),"")</f>
        <v xml:space="preserve">Este indicador esta programado para el Mes de Junio. </v>
      </c>
      <c r="AN41">
        <f>+IFERROR(IF(ISBLANK(VLOOKUP(CONCATENATE($F41,"_",AN$4),Subtecnica_2,MATCH(AN$3,'Sub. Técnica'!$F$26:$O$26,0),0)),"",VLOOKUP(CONCATENATE($F41,"_",AN$4),Subtecnica_2,MATCH(AN$3,'Sub. Técnica'!$F$26:$O$26,0),0)),"")</f>
        <v>0</v>
      </c>
      <c r="AO41">
        <f>+IFERROR(IF(ISBLANK(VLOOKUP(CONCATENATE($F41,"_",AO$4),Subtecnica_2,MATCH(AO$3,'Sub. Técnica'!$F$26:$O$26,0),0)),"",VLOOKUP(CONCATENATE($F41,"_",AO$4),Subtecnica_2,MATCH(AO$3,'Sub. Técnica'!$F$26:$O$26,0),0)),"")</f>
        <v>0</v>
      </c>
      <c r="AP41" t="str">
        <f>+IFERROR(IF(ISBLANK(VLOOKUP(CONCATENATE($F41,"_",AP$4),Subtecnica_2,MATCH(AP$3,'Sub. Técnica'!$F$26:$O$26,0),0)),"",VLOOKUP(CONCATENATE($F41,"_",AP$4),Subtecnica_2,MATCH(AP$3,'Sub. Técnica'!$F$26:$O$26,0),0)),"")</f>
        <v xml:space="preserve">La aplicaciòn de encuestas se realizarà en el mes de Junio de acuerdo a la programaciòn del Indicador. </v>
      </c>
      <c r="AQ41" t="str">
        <f>+IFERROR(IF(ISBLANK(VLOOKUP(CONCATENATE($F41,"_",AQ$4),Subtecnica_2,MATCH(AQ$3,'Sub. Técnica'!$F$26:$O$26,0),0)),"",VLOOKUP(CONCATENATE($F41,"_",AQ$4),Subtecnica_2,MATCH(AQ$3,'Sub. Técnica'!$F$26:$O$26,0),0)),"")</f>
        <v xml:space="preserve">Este indicador esta programado para el Mes de Junio. </v>
      </c>
      <c r="AR41" t="str">
        <f>+IFERROR(IF(ISBLANK(VLOOKUP(CONCATENATE($F41,"_",AR$4),Subtecnica_2,MATCH(AR$3,'Sub. Técnica'!$F$26:$O$26,0),0)),"",VLOOKUP(CONCATENATE($F41,"_",AR$4),Subtecnica_2,MATCH(AR$3,'Sub. Técnica'!$F$26:$O$26,0),0)),"")</f>
        <v xml:space="preserve">Este indicador esta programado para el Mes de Junio. </v>
      </c>
      <c r="AS41">
        <f>+IFERROR(IF(ISBLANK(VLOOKUP(CONCATENATE($F41,"_",AS$4),Subtecnica_2,MATCH(AS$3,'Sub. Técnica'!$F$26:$O$26,0),0)),"",VLOOKUP(CONCATENATE($F41,"_",AS$4),Subtecnica_2,MATCH(AS$3,'Sub. Técnica'!$F$26:$O$26,0),0)),"")</f>
        <v>0</v>
      </c>
      <c r="AT41">
        <f>+IFERROR(IF(ISBLANK(VLOOKUP(CONCATENATE($F41,"_",AT$4),Subtecnica_2,MATCH(AT$3,'Sub. Técnica'!$F$26:$O$26,0),0)),"",VLOOKUP(CONCATENATE($F41,"_",AT$4),Subtecnica_2,MATCH(AT$3,'Sub. Técnica'!$F$26:$O$26,0),0)),"")</f>
        <v>0</v>
      </c>
      <c r="AU41" t="str">
        <f>+IFERROR(IF(ISBLANK(VLOOKUP(CONCATENATE($F41,"_",AU$4),Subtecnica_2,MATCH(AU$3,'Sub. Técnica'!$F$26:$O$26,0),0)),"",VLOOKUP(CONCATENATE($F41,"_",AU$4),Subtecnica_2,MATCH(AU$3,'Sub. Técnica'!$F$26:$O$26,0),0)),"")</f>
        <v xml:space="preserve">La aplicaciòn de encuestas se realizarà en el mes de Junio de acuerdo a la programaciòn del Indicador. </v>
      </c>
      <c r="AV41" t="str">
        <f>+IFERROR(IF(ISBLANK(VLOOKUP(CONCATENATE($F41,"_",AV$4),Subtecnica_2,MATCH(AV$3,'Sub. Técnica'!$F$26:$O$26,0),0)),"",VLOOKUP(CONCATENATE($F41,"_",AV$4),Subtecnica_2,MATCH(AV$3,'Sub. Técnica'!$F$26:$O$26,0),0)),"")</f>
        <v xml:space="preserve">Este indicador esta programado para el Mes de Junio. </v>
      </c>
      <c r="AW41" t="str">
        <f>+IFERROR(IF(ISBLANK(VLOOKUP(CONCATENATE($F41,"_",AW$4),Subtecnica_2,MATCH(AW$3,'Sub. Técnica'!$F$26:$O$26,0),0)),"",VLOOKUP(CONCATENATE($F41,"_",AW$4),Subtecnica_2,MATCH(AW$3,'Sub. Técnica'!$F$26:$O$26,0),0)),"")</f>
        <v xml:space="preserve">Este indicador esta programado para el Mes de Junio. </v>
      </c>
      <c r="AX41">
        <f>+IFERROR(IF(ISBLANK(VLOOKUP(CONCATENATE($F41,"_",AX$4),Subtecnica_2,MATCH(AX$3,'Sub. Técnica'!$F$26:$O$26,0),0)),"",VLOOKUP(CONCATENATE($F41,"_",AX$4),Subtecnica_2,MATCH(AX$3,'Sub. Técnica'!$F$26:$O$26,0),0)),"")</f>
        <v>96</v>
      </c>
      <c r="AY41">
        <f>+IFERROR(IF(ISBLANK(VLOOKUP(CONCATENATE($F41,"_",AY$4),Subtecnica_2,MATCH(AY$3,'Sub. Técnica'!$F$26:$O$26,0),0)),"",VLOOKUP(CONCATENATE($F41,"_",AY$4),Subtecnica_2,MATCH(AY$3,'Sub. Técnica'!$F$26:$O$26,0),0)),"")</f>
        <v>100</v>
      </c>
      <c r="AZ41" t="str">
        <f>+IFERROR(IF(ISBLANK(VLOOKUP(CONCATENATE($F41,"_",AZ$4),Subtecnica_2,MATCH(AZ$3,'Sub. Técnica'!$F$26:$O$26,0),0)),"",VLOOKUP(CONCATENATE($F41,"_",AZ$4),Subtecnica_2,MATCH(AZ$3,'Sub. Técnica'!$F$26:$O$26,0),0)),"")</f>
        <v xml:space="preserve">Se aplica  encuesta de satisfacciòn frente a la Estrategia de Teletrabajo, dirigida a 53 entidades y
organismos del orden distrital en donde el Teletrabajo fue implementado con el apoyo,
acompañamiento y asistencia técnica por parte del Equipo Técnico de la Dirección Distrital de Desarrollo
Institucional, a cargo de la implementación de la Estrategia. </v>
      </c>
      <c r="BA41" t="str">
        <f>+IFERROR(IF(ISBLANK(VLOOKUP(CONCATENATE($F41,"_",BA$4),Subtecnica_2,MATCH(BA$3,'Sub. Técnica'!$F$26:$O$26,0),0)),"",VLOOKUP(CONCATENATE($F41,"_",BA$4),Subtecnica_2,MATCH(BA$3,'Sub. Técnica'!$F$26:$O$26,0),0)),"")</f>
        <v xml:space="preserve">No se reportaron retrasos ni dificultades en la gestión de acompañamiento de la Estrategia de Teletrabajo. </v>
      </c>
      <c r="BB41" t="str">
        <f>+IFERROR(IF(ISBLANK(VLOOKUP(CONCATENATE($F41,"_",BB$4),Subtecnica_2,MATCH(BB$3,'Sub. Técnica'!$F$26:$O$26,0),0)),"",VLOOKUP(CONCATENATE($F41,"_",BB$4),Subtecnica_2,MATCH(BB$3,'Sub. Técnica'!$F$26:$O$26,0),0)),"")</f>
        <v xml:space="preserve">las entidades y organismos distritales encuestados manifiestan su total satisfacción por el
pertinente y oportuno apoyo profesional que facilita la Dirección Distrital de Desarrollo Institucional de
la Secretaría General de la Alcaldía Mayor de Bogotá, en los diferentes momentos de Adopción,
Implementación y Seguimiento de la Estrategia de Teletrabajo pese a las circunstancias que vive la
ciudad por la emergencia sanitaria. </v>
      </c>
      <c r="BC41">
        <f t="shared" si="10"/>
        <v>96</v>
      </c>
      <c r="BD41">
        <f t="shared" si="10"/>
        <v>100</v>
      </c>
      <c r="BE41" s="129" t="str">
        <f>+IFERROR(IF(ISBLANK(VLOOKUP(CONCATENATE($F41,"_",BE$4),P1143_4,MATCH(BE$3,PAAC!$E$19:$M$19,0),0)),"",VLOOKUP(CONCATENATE($F41,"_",BE$4),P1143_4,MATCH(BE$3,PAAC!$E$19:$M$19,0),0)),"")</f>
        <v/>
      </c>
      <c r="BF41" s="129" t="str">
        <f>+IFERROR(IF(ISBLANK(VLOOKUP(CONCATENATE($F41,"_",BF$4),P1143_4,MATCH(BF$3,PAAC!$E$19:$M$19,0),0)),"",VLOOKUP(CONCATENATE($F41,"_",BF$4),P1143_4,MATCH(BF$3,PAAC!$E$19:$M$19,0),0)),"")</f>
        <v/>
      </c>
      <c r="BG41" s="129" t="str">
        <f>+IFERROR(IF(ISBLANK(VLOOKUP(CONCATENATE($F41,"_",BG$4),P1143_4,MATCH(BG$3,PAAC!$E$19:$M$19,0),0)),"",VLOOKUP(CONCATENATE($F41,"_",BG$4),P1143_4,MATCH(BG$3,PAAC!$E$19:$M$19,0),0)),"")</f>
        <v/>
      </c>
      <c r="BH41" s="129" t="str">
        <f>+IFERROR(IF(ISBLANK(VLOOKUP(CONCATENATE($F41,"_",BH$4),P1143_4,MATCH(BH$3,PAAC!$E$19:$M$19,0),0)),"",VLOOKUP(CONCATENATE($F41,"_",BH$4),P1143_4,MATCH(BH$3,PAAC!$E$19:$M$19,0),0)),"")</f>
        <v/>
      </c>
      <c r="BI41" s="129" t="str">
        <f>+IFERROR(IF(ISBLANK(VLOOKUP(CONCATENATE($F41,"_",BI$4),P1143_4,MATCH(BI$3,PAAC!$E$19:$M$19,0),0)),"",VLOOKUP(CONCATENATE($F41,"_",BI$4),P1143_4,MATCH(BI$3,PAAC!$E$19:$M$19,0),0)),"")</f>
        <v/>
      </c>
      <c r="BJ41" s="129" t="str">
        <f>+IFERROR(IF(ISBLANK(VLOOKUP(CONCATENATE($F41,"_",BJ$4),P1143_4,MATCH(BJ$3,PAAC!$E$19:$M$19,0),0)),"",VLOOKUP(CONCATENATE($F41,"_",BJ$4),P1143_4,MATCH(BJ$3,PAAC!$E$19:$M$19,0),0)),"")</f>
        <v/>
      </c>
      <c r="BK41" s="129" t="str">
        <f>+IFERROR(IF(ISBLANK(VLOOKUP(CONCATENATE($F41,"_",BK$4),P1143_4,MATCH(BK$3,PAAC!$E$19:$M$19,0),0)),"",VLOOKUP(CONCATENATE($F41,"_",BK$4),P1143_4,MATCH(BK$3,PAAC!$E$19:$M$19,0),0)),"")</f>
        <v/>
      </c>
      <c r="BL41" s="129" t="str">
        <f>+IFERROR(IF(ISBLANK(VLOOKUP(CONCATENATE($F41,"_",BL$4),P1143_4,MATCH(BL$3,PAAC!$E$19:$M$19,0),0)),"",VLOOKUP(CONCATENATE($F41,"_",BL$4),P1143_4,MATCH(BL$3,PAAC!$E$19:$M$19,0),0)),"")</f>
        <v/>
      </c>
      <c r="BM41" s="129" t="str">
        <f>+IFERROR(IF(ISBLANK(VLOOKUP(CONCATENATE($F41,"_",BM$4),P1143_4,MATCH(BM$3,PAAC!$E$19:$M$19,0),0)),"",VLOOKUP(CONCATENATE($F41,"_",BM$4),P1143_4,MATCH(BM$3,PAAC!$E$19:$M$19,0),0)),"")</f>
        <v/>
      </c>
      <c r="BN41" s="129" t="str">
        <f>+IFERROR(IF(ISBLANK(VLOOKUP(CONCATENATE($F41,"_",BN$4),P1143_4,MATCH(BN$3,PAAC!$E$19:$M$19,0),0)),"",VLOOKUP(CONCATENATE($F41,"_",BN$4),P1143_4,MATCH(BN$3,PAAC!$E$19:$M$19,0),0)),"")</f>
        <v/>
      </c>
      <c r="BO41" s="129" t="str">
        <f>+IFERROR(IF(ISBLANK(VLOOKUP(CONCATENATE($F41,"_",BO$4),P1143_4,MATCH(BO$3,PAAC!$E$19:$M$19,0),0)),"",VLOOKUP(CONCATENATE($F41,"_",BO$4),P1143_4,MATCH(BO$3,PAAC!$E$19:$M$19,0),0)),"")</f>
        <v/>
      </c>
      <c r="BP41" s="129" t="str">
        <f>+IFERROR(IF(ISBLANK(VLOOKUP(CONCATENATE($F41,"_",BP$4),P1143_4,MATCH(BP$3,PAAC!$E$19:$M$19,0),0)),"",VLOOKUP(CONCATENATE($F41,"_",BP$4),P1143_4,MATCH(BP$3,PAAC!$E$19:$M$19,0),0)),"")</f>
        <v/>
      </c>
      <c r="BQ41" s="129" t="str">
        <f>+IFERROR(IF(ISBLANK(VLOOKUP(CONCATENATE($F41,"_",BQ$4),P1143_4,MATCH(BQ$3,PAAC!$E$19:$M$19,0),0)),"",VLOOKUP(CONCATENATE($F41,"_",BQ$4),P1143_4,MATCH(BQ$3,PAAC!$E$19:$M$19,0),0)),"")</f>
        <v/>
      </c>
      <c r="BR41" s="129" t="str">
        <f>+IFERROR(IF(ISBLANK(VLOOKUP(CONCATENATE($F41,"_",BR$4),P1143_4,MATCH(BR$3,PAAC!$E$19:$M$19,0),0)),"",VLOOKUP(CONCATENATE($F41,"_",BR$4),P1143_4,MATCH(BR$3,PAAC!$E$19:$M$19,0),0)),"")</f>
        <v/>
      </c>
      <c r="BS41" s="129" t="str">
        <f>+IFERROR(IF(ISBLANK(VLOOKUP(CONCATENATE($F41,"_",BS$4),P1143_4,MATCH(BS$3,PAAC!$E$19:$M$19,0),0)),"",VLOOKUP(CONCATENATE($F41,"_",BS$4),P1143_4,MATCH(BS$3,PAAC!$E$19:$M$19,0),0)),"")</f>
        <v/>
      </c>
      <c r="BT41" s="129" t="str">
        <f>+IFERROR(IF(ISBLANK(VLOOKUP(CONCATENATE($F41,"_",BT$4),P1143_4,MATCH(BT$3,PAAC!$E$19:$M$19,0),0)),"",VLOOKUP(CONCATENATE($F41,"_",BT$4),P1143_4,MATCH(BT$3,PAAC!$E$19:$M$19,0),0)),"")</f>
        <v/>
      </c>
      <c r="BU41" s="129" t="str">
        <f>+IFERROR(IF(ISBLANK(VLOOKUP(CONCATENATE($F41,"_",BU$4),P1143_4,MATCH(BU$3,PAAC!$E$19:$M$19,0),0)),"",VLOOKUP(CONCATENATE($F41,"_",BU$4),P1143_4,MATCH(BU$3,PAAC!$E$19:$M$19,0),0)),"")</f>
        <v/>
      </c>
      <c r="BV41" s="129" t="str">
        <f>+IFERROR(IF(ISBLANK(VLOOKUP(CONCATENATE($F41,"_",BV$4),P1143_4,MATCH(BV$3,PAAC!$E$19:$M$19,0),0)),"",VLOOKUP(CONCATENATE($F41,"_",BV$4),P1143_4,MATCH(BV$3,PAAC!$E$19:$M$19,0),0)),"")</f>
        <v/>
      </c>
      <c r="BW41" s="129" t="str">
        <f>+IFERROR(IF(ISBLANK(VLOOKUP(CONCATENATE($F41,"_",BW$4),P1143_4,MATCH(BW$3,PAAC!$E$19:$M$19,0),0)),"",VLOOKUP(CONCATENATE($F41,"_",BW$4),P1143_4,MATCH(BW$3,PAAC!$E$19:$M$19,0),0)),"")</f>
        <v/>
      </c>
      <c r="BX41" s="129" t="str">
        <f>+IFERROR(IF(ISBLANK(VLOOKUP(CONCATENATE($F41,"_",BX$4),P1143_4,MATCH(BX$3,PAAC!$E$19:$M$19,0),0)),"",VLOOKUP(CONCATENATE($F41,"_",BX$4),P1143_4,MATCH(BX$3,PAAC!$E$19:$M$19,0),0)),"")</f>
        <v/>
      </c>
      <c r="BY41" s="129" t="str">
        <f>+IFERROR(IF(ISBLANK(VLOOKUP(CONCATENATE($F41,"_",BY$4),P1143_4,MATCH(BY$3,PAAC!$E$19:$M$19,0),0)),"",VLOOKUP(CONCATENATE($F41,"_",BY$4),P1143_4,MATCH(BY$3,PAAC!$E$19:$M$19,0),0)),"")</f>
        <v/>
      </c>
      <c r="BZ41" s="129" t="str">
        <f>+IFERROR(IF(ISBLANK(VLOOKUP(CONCATENATE($F41,"_",BZ$4),P1143_4,MATCH(BZ$3,PAAC!$E$19:$M$19,0),0)),"",VLOOKUP(CONCATENATE($F41,"_",BZ$4),P1143_4,MATCH(BZ$3,PAAC!$E$19:$M$19,0),0)),"")</f>
        <v/>
      </c>
      <c r="CA41" s="129" t="str">
        <f>+IFERROR(IF(ISBLANK(VLOOKUP(CONCATENATE($F41,"_",CA$4),P1143_4,MATCH(CA$3,PAAC!$E$19:$M$19,0),0)),"",VLOOKUP(CONCATENATE($F41,"_",CA$4),P1143_4,MATCH(CA$3,PAAC!$E$19:$M$19,0),0)),"")</f>
        <v/>
      </c>
      <c r="CB41" s="129" t="str">
        <f>+IFERROR(IF(ISBLANK(VLOOKUP(CONCATENATE($F41,"_",CB$4),P1143_4,MATCH(CB$3,PAAC!$E$19:$M$19,0),0)),"",VLOOKUP(CONCATENATE($F41,"_",CB$4),P1143_4,MATCH(CB$3,PAAC!$E$19:$M$19,0),0)),"")</f>
        <v/>
      </c>
      <c r="CC41" s="129" t="str">
        <f>+IFERROR(IF(ISBLANK(VLOOKUP(CONCATENATE($F41,"_",CC$4),P1143_4,MATCH(CC$3,PAAC!$E$19:$M$19,0),0)),"",VLOOKUP(CONCATENATE($F41,"_",CC$4),P1143_4,MATCH(CC$3,PAAC!$E$19:$M$19,0),0)),"")</f>
        <v/>
      </c>
      <c r="CD41" s="129" t="str">
        <f t="shared" si="11"/>
        <v/>
      </c>
      <c r="CE41" s="129" t="str">
        <f t="shared" si="3"/>
        <v/>
      </c>
      <c r="CF41" s="129" t="str">
        <f t="shared" si="4"/>
        <v/>
      </c>
      <c r="CG41" s="129" t="str">
        <f t="shared" si="5"/>
        <v/>
      </c>
      <c r="CH41" s="129" t="str">
        <f t="shared" si="6"/>
        <v/>
      </c>
      <c r="CI41" t="str">
        <f t="shared" si="31"/>
        <v>Cumple</v>
      </c>
      <c r="CJ41" t="str">
        <f t="shared" si="31"/>
        <v>No programó</v>
      </c>
      <c r="CK41" t="str">
        <f t="shared" si="31"/>
        <v>No aplica</v>
      </c>
      <c r="CL41" t="str">
        <f t="shared" si="31"/>
        <v>No aplica</v>
      </c>
      <c r="CM41" t="str">
        <f t="shared" si="31"/>
        <v>No aplica</v>
      </c>
      <c r="CN41" t="str">
        <f t="shared" si="31"/>
        <v>No aplica</v>
      </c>
      <c r="CO41">
        <f t="shared" si="31"/>
        <v>0</v>
      </c>
      <c r="CP41" t="str">
        <f t="shared" si="31"/>
        <v>No aplica</v>
      </c>
      <c r="CQ41" t="str">
        <f t="shared" si="31"/>
        <v>Oportuna</v>
      </c>
      <c r="CR41" t="str">
        <f t="shared" si="31"/>
        <v>Para el periodo de reporte el indicador no presenta avance teniendo en cuenta que su programación es para el mes de junio</v>
      </c>
      <c r="CS41" t="str">
        <f t="shared" si="32"/>
        <v>Marcela Andrea García Guerrero</v>
      </c>
      <c r="CT41">
        <f t="shared" si="32"/>
        <v>0</v>
      </c>
      <c r="CU41" t="str">
        <f t="shared" si="32"/>
        <v>Cumplido</v>
      </c>
      <c r="CV41" t="str">
        <f t="shared" si="32"/>
        <v>Adecuado</v>
      </c>
      <c r="CW41" t="str">
        <f t="shared" si="32"/>
        <v>Coherente</v>
      </c>
      <c r="CX41" t="str">
        <f t="shared" si="32"/>
        <v>Concuerda</v>
      </c>
      <c r="CY41" t="str">
        <f t="shared" si="32"/>
        <v>Concuerda</v>
      </c>
      <c r="CZ41">
        <f t="shared" si="32"/>
        <v>0</v>
      </c>
      <c r="DA41" t="str">
        <f t="shared" si="32"/>
        <v>Adecuado</v>
      </c>
      <c r="DB41" t="str">
        <f t="shared" si="32"/>
        <v>Oportuna</v>
      </c>
      <c r="DC41" t="str">
        <f t="shared" si="33"/>
        <v>Ninguna</v>
      </c>
      <c r="DD41" t="str">
        <f t="shared" si="33"/>
        <v>Marcela Andrea García Guerrero</v>
      </c>
      <c r="DE41" t="e">
        <f t="shared" si="33"/>
        <v>#REF!</v>
      </c>
      <c r="DF41" t="e">
        <f t="shared" si="33"/>
        <v>#REF!</v>
      </c>
      <c r="DG41" t="e">
        <f t="shared" si="33"/>
        <v>#REF!</v>
      </c>
      <c r="DH41" t="e">
        <f t="shared" si="33"/>
        <v>#REF!</v>
      </c>
      <c r="DI41" t="e">
        <f t="shared" si="33"/>
        <v>#REF!</v>
      </c>
      <c r="DJ41" t="e">
        <f t="shared" si="33"/>
        <v>#REF!</v>
      </c>
      <c r="DK41" t="e">
        <f t="shared" si="33"/>
        <v>#REF!</v>
      </c>
      <c r="DL41" t="e">
        <f t="shared" si="33"/>
        <v>#REF!</v>
      </c>
      <c r="DM41" t="e">
        <f t="shared" si="34"/>
        <v>#REF!</v>
      </c>
      <c r="DN41" t="e">
        <f t="shared" si="34"/>
        <v>#REF!</v>
      </c>
      <c r="DO41" t="e">
        <f t="shared" si="34"/>
        <v>#REF!</v>
      </c>
      <c r="DP41" t="e">
        <f t="shared" si="34"/>
        <v>#REF!</v>
      </c>
      <c r="DQ41" t="e">
        <f t="shared" si="34"/>
        <v>#REF!</v>
      </c>
      <c r="DR41" t="e">
        <f t="shared" si="34"/>
        <v>#REF!</v>
      </c>
      <c r="DS41" t="e">
        <f t="shared" si="34"/>
        <v>#REF!</v>
      </c>
      <c r="DT41" t="e">
        <f t="shared" si="34"/>
        <v>#REF!</v>
      </c>
      <c r="DU41" t="e">
        <f t="shared" si="34"/>
        <v>#REF!</v>
      </c>
      <c r="DV41" t="e">
        <f t="shared" si="34"/>
        <v>#REF!</v>
      </c>
      <c r="DW41" t="e">
        <f t="shared" si="34"/>
        <v>#REF!</v>
      </c>
      <c r="DX41" t="e">
        <f t="shared" si="34"/>
        <v>#REF!</v>
      </c>
    </row>
    <row r="42" spans="1:128" x14ac:dyDescent="0.3">
      <c r="A42" s="423" t="str">
        <f>+F42</f>
        <v>36A</v>
      </c>
      <c r="B42" t="str">
        <f>+C42&amp;"_"&amp;D42</f>
        <v>1_Subdirección Técnica de Desarrollo Institucional</v>
      </c>
      <c r="C42">
        <f t="shared" si="8"/>
        <v>1</v>
      </c>
      <c r="D42" t="str">
        <f t="shared" si="0"/>
        <v>Subdirección Técnica de Desarrollo Institucional</v>
      </c>
      <c r="E42" t="str">
        <f>+VLOOKUP(D42,responsables,8,0)</f>
        <v>std</v>
      </c>
      <c r="F42" s="208" t="str">
        <f>'Sub. Técnica'!D19</f>
        <v>36A</v>
      </c>
      <c r="G42" t="str">
        <f t="shared" si="30"/>
        <v>Suma</v>
      </c>
      <c r="H42" t="str">
        <f t="shared" si="30"/>
        <v>Número</v>
      </c>
      <c r="I42">
        <f t="shared" si="30"/>
        <v>7</v>
      </c>
      <c r="J42">
        <f t="shared" si="30"/>
        <v>2</v>
      </c>
      <c r="K42" t="str">
        <f>+IFERROR(VLOOKUP($F42,Subtecnica_1,MATCH(K$5,'Sub. Técnica'!$D$9:$V$9,0),0),"")</f>
        <v>Suma</v>
      </c>
      <c r="L42">
        <f>+IFERROR(VLOOKUP($F42,Subtecnica_1,MATCH(L$5,'Sub. Técnica'!$D$9:$V$9,0),0),"")</f>
        <v>0</v>
      </c>
      <c r="M42">
        <f t="shared" si="35"/>
        <v>0</v>
      </c>
      <c r="N42">
        <f>+IFERROR(VLOOKUP($F42,Subtecnica_1,MATCH(N$5,'Sub. Técnica'!$D$9:$V$9,0),0),"")</f>
        <v>0</v>
      </c>
      <c r="O42">
        <f>+IFERROR(VLOOKUP($F42,Subtecnica_1,MATCH(O$5,'Sub. Técnica'!$D$9:$V$9,0),0),"")</f>
        <v>0</v>
      </c>
      <c r="P42">
        <f>+IFERROR(VLOOKUP($F42,Subtecnica_1,MATCH(P$5,'Sub. Técnica'!$D$9:$V$9,0),0),"")</f>
        <v>0</v>
      </c>
      <c r="Q42">
        <f>+IFERROR(VLOOKUP($F42,Subtecnica_1,MATCH(Q$5,'Sub. Técnica'!$D$9:$V$9,0),0),"")</f>
        <v>0</v>
      </c>
      <c r="R42">
        <f>+IFERROR(VLOOKUP($F42,Subtecnica_1,MATCH(R$5,'Sub. Técnica'!$D$9:$V$9,0),0),"")</f>
        <v>0</v>
      </c>
      <c r="S42">
        <f>+IFERROR(VLOOKUP($F42,Subtecnica_1,MATCH(S$5,'Sub. Técnica'!$D$9:$V$9,0),0),"")</f>
        <v>0</v>
      </c>
      <c r="T42">
        <f>+IFERROR(VLOOKUP($F42,Subtecnica_1,MATCH(T$5,'Sub. Técnica'!$D$9:$V$9,0),0),"")</f>
        <v>1</v>
      </c>
      <c r="U42" t="str">
        <f>+IFERROR(VLOOKUP($F42,Subtecnica_1,MATCH(U$5,'Sub. Técnica'!$D$9:$V$9,0),0),"")</f>
        <v>Verificar el cumplimiento en la elaboración de los Documentos Técnicos establecidos para la vigencia</v>
      </c>
      <c r="V42" t="str">
        <f>+IFERROR(VLOOKUP($F42,Subtecnica_1,MATCH(V$5,'Sub. Técnica'!$D$9:$V$9,0),0),"")</f>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W42" t="str">
        <f>+IFERROR(VLOOKUP($F42,Subtecnica_1,MATCH(W$5,'Sub. Técnica'!$D$9:$V$9,0),0),"")</f>
        <v xml:space="preserve">Orientar a través de Documentos Técnicos a las entidades distritales frente a la simplificación de procesos y Buenas Prácticas en Integridad. </v>
      </c>
      <c r="X42" t="str">
        <f>+IFERROR(VLOOKUP($F42,Subtecnica_1,MATCH(X$5,'Sub. Técnica'!$D$9:$V$9,0),0),"")</f>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
      <c r="Y42" t="str">
        <f>+IFERROR(IF(ISBLANK(VLOOKUP(CONCATENATE($F42,"_",Y$4),Subtecnica_2,MATCH(Y$3,'Sub. Técnica'!$F$26:$O$26,0),0)),"",VLOOKUP(CONCATENATE($F42,"_",Y$4),Subtecnica_2,MATCH(Y$3,'Sub. Técnica'!$F$26:$O$26,0),0)),"")</f>
        <v/>
      </c>
      <c r="Z42" t="str">
        <f>+IFERROR(IF(ISBLANK(VLOOKUP(CONCATENATE($F42,"_",Z$4),Subtecnica_2,MATCH(Z$3,'Sub. Técnica'!$F$26:$O$26,0),0)),"",VLOOKUP(CONCATENATE($F42,"_",Z$4),Subtecnica_2,MATCH(Z$3,'Sub. Técnica'!$F$26:$O$26,0),0)),"")</f>
        <v/>
      </c>
      <c r="AA42" t="str">
        <f>+IFERROR(IF(ISBLANK(VLOOKUP(CONCATENATE($F42,"_",AA$4),Subtecnica_2,MATCH(AA$3,'Sub. Técnica'!$F$26:$O$26,0),0)),"",VLOOKUP(CONCATENATE($F42,"_",AA$4),Subtecnica_2,MATCH(AA$3,'Sub. Técnica'!$F$26:$O$26,0),0)),"")</f>
        <v/>
      </c>
      <c r="AB42" t="str">
        <f>+IFERROR(IF(ISBLANK(VLOOKUP(CONCATENATE($F42,"_",AB$4),Subtecnica_2,MATCH(AB$3,'Sub. Técnica'!$F$26:$O$26,0),0)),"",VLOOKUP(CONCATENATE($F42,"_",AB$4),Subtecnica_2,MATCH(AB$3,'Sub. Técnica'!$F$26:$O$26,0),0)),"")</f>
        <v/>
      </c>
      <c r="AC42" t="str">
        <f>+IFERROR(IF(ISBLANK(VLOOKUP(CONCATENATE($F42,"_",AC$4),Subtecnica_2,MATCH(AC$3,'Sub. Técnica'!$F$26:$O$26,0),0)),"",VLOOKUP(CONCATENATE($F42,"_",AC$4),Subtecnica_2,MATCH(AC$3,'Sub. Técnica'!$F$26:$O$26,0),0)),"")</f>
        <v/>
      </c>
      <c r="AD42" t="str">
        <f>+IFERROR(IF(ISBLANK(VLOOKUP(CONCATENATE($F42,"_",AD$4),Subtecnica_2,MATCH(AD$3,'Sub. Técnica'!$F$26:$O$26,0),0)),"",VLOOKUP(CONCATENATE($F42,"_",AD$4),Subtecnica_2,MATCH(AD$3,'Sub. Técnica'!$F$26:$O$26,0),0)),"")</f>
        <v/>
      </c>
      <c r="AE42" t="str">
        <f>+IFERROR(IF(ISBLANK(VLOOKUP(CONCATENATE($F42,"_",AE$4),Subtecnica_2,MATCH(AE$3,'Sub. Técnica'!$F$26:$O$26,0),0)),"",VLOOKUP(CONCATENATE($F42,"_",AE$4),Subtecnica_2,MATCH(AE$3,'Sub. Técnica'!$F$26:$O$26,0),0)),"")</f>
        <v/>
      </c>
      <c r="AF42" t="str">
        <f>+IFERROR(IF(ISBLANK(VLOOKUP(CONCATENATE($F42,"_",AF$4),Subtecnica_2,MATCH(AF$3,'Sub. Técnica'!$F$26:$O$26,0),0)),"",VLOOKUP(CONCATENATE($F42,"_",AF$4),Subtecnica_2,MATCH(AF$3,'Sub. Técnica'!$F$26:$O$26,0),0)),"")</f>
        <v/>
      </c>
      <c r="AG42" t="str">
        <f>+IFERROR(IF(ISBLANK(VLOOKUP(CONCATENATE($F42,"_",AG$4),Subtecnica_2,MATCH(AG$3,'Sub. Técnica'!$F$26:$O$26,0),0)),"",VLOOKUP(CONCATENATE($F42,"_",AG$4),Subtecnica_2,MATCH(AG$3,'Sub. Técnica'!$F$26:$O$26,0),0)),"")</f>
        <v/>
      </c>
      <c r="AH42" t="str">
        <f>+IFERROR(IF(ISBLANK(VLOOKUP(CONCATENATE($F42,"_",AH$4),Subtecnica_2,MATCH(AH$3,'Sub. Técnica'!$F$26:$O$26,0),0)),"",VLOOKUP(CONCATENATE($F42,"_",AH$4),Subtecnica_2,MATCH(AH$3,'Sub. Técnica'!$F$26:$O$26,0),0)),"")</f>
        <v/>
      </c>
      <c r="AI42" t="str">
        <f>+IFERROR(IF(ISBLANK(VLOOKUP(CONCATENATE($F42,"_",AI$4),Subtecnica_2,MATCH(AI$3,'Sub. Técnica'!$F$26:$O$26,0),0)),"",VLOOKUP(CONCATENATE($F42,"_",AI$4),Subtecnica_2,MATCH(AI$3,'Sub. Técnica'!$F$26:$O$26,0),0)),"")</f>
        <v/>
      </c>
      <c r="AJ42" t="str">
        <f>+IFERROR(IF(ISBLANK(VLOOKUP(CONCATENATE($F42,"_",AJ$4),Subtecnica_2,MATCH(AJ$3,'Sub. Técnica'!$F$26:$O$26,0),0)),"",VLOOKUP(CONCATENATE($F42,"_",AJ$4),Subtecnica_2,MATCH(AJ$3,'Sub. Técnica'!$F$26:$O$26,0),0)),"")</f>
        <v/>
      </c>
      <c r="AK42" t="str">
        <f>+IFERROR(IF(ISBLANK(VLOOKUP(CONCATENATE($F42,"_",AK$4),Subtecnica_2,MATCH(AK$3,'Sub. Técnica'!$F$26:$O$26,0),0)),"",VLOOKUP(CONCATENATE($F42,"_",AK$4),Subtecnica_2,MATCH(AK$3,'Sub. Técnica'!$F$26:$O$26,0),0)),"")</f>
        <v/>
      </c>
      <c r="AL42" t="str">
        <f>+IFERROR(IF(ISBLANK(VLOOKUP(CONCATENATE($F42,"_",AL$4),Subtecnica_2,MATCH(AL$3,'Sub. Técnica'!$F$26:$O$26,0),0)),"",VLOOKUP(CONCATENATE($F42,"_",AL$4),Subtecnica_2,MATCH(AL$3,'Sub. Técnica'!$F$26:$O$26,0),0)),"")</f>
        <v/>
      </c>
      <c r="AM42" t="str">
        <f>+IFERROR(IF(ISBLANK(VLOOKUP(CONCATENATE($F42,"_",AM$4),Subtecnica_2,MATCH(AM$3,'Sub. Técnica'!$F$26:$O$26,0),0)),"",VLOOKUP(CONCATENATE($F42,"_",AM$4),Subtecnica_2,MATCH(AM$3,'Sub. Técnica'!$F$26:$O$26,0),0)),"")</f>
        <v/>
      </c>
      <c r="AN42" t="str">
        <f>+IFERROR(IF(ISBLANK(VLOOKUP(CONCATENATE($F42,"_",AN$4),Subtecnica_2,MATCH(AN$3,'Sub. Técnica'!$F$26:$O$26,0),0)),"",VLOOKUP(CONCATENATE($F42,"_",AN$4),Subtecnica_2,MATCH(AN$3,'Sub. Técnica'!$F$26:$O$26,0),0)),"")</f>
        <v/>
      </c>
      <c r="AO42" t="str">
        <f>+IFERROR(IF(ISBLANK(VLOOKUP(CONCATENATE($F42,"_",AO$4),Subtecnica_2,MATCH(AO$3,'Sub. Técnica'!$F$26:$O$26,0),0)),"",VLOOKUP(CONCATENATE($F42,"_",AO$4),Subtecnica_2,MATCH(AO$3,'Sub. Técnica'!$F$26:$O$26,0),0)),"")</f>
        <v/>
      </c>
      <c r="AP42" t="str">
        <f>+IFERROR(IF(ISBLANK(VLOOKUP(CONCATENATE($F42,"_",AP$4),Subtecnica_2,MATCH(AP$3,'Sub. Técnica'!$F$26:$O$26,0),0)),"",VLOOKUP(CONCATENATE($F42,"_",AP$4),Subtecnica_2,MATCH(AP$3,'Sub. Técnica'!$F$26:$O$26,0),0)),"")</f>
        <v/>
      </c>
      <c r="AQ42" t="str">
        <f>+IFERROR(IF(ISBLANK(VLOOKUP(CONCATENATE($F42,"_",AQ$4),Subtecnica_2,MATCH(AQ$3,'Sub. Técnica'!$F$26:$O$26,0),0)),"",VLOOKUP(CONCATENATE($F42,"_",AQ$4),Subtecnica_2,MATCH(AQ$3,'Sub. Técnica'!$F$26:$O$26,0),0)),"")</f>
        <v/>
      </c>
      <c r="AR42" t="str">
        <f>+IFERROR(IF(ISBLANK(VLOOKUP(CONCATENATE($F42,"_",AR$4),Subtecnica_2,MATCH(AR$3,'Sub. Técnica'!$F$26:$O$26,0),0)),"",VLOOKUP(CONCATENATE($F42,"_",AR$4),Subtecnica_2,MATCH(AR$3,'Sub. Técnica'!$F$26:$O$26,0),0)),"")</f>
        <v/>
      </c>
      <c r="AS42" t="str">
        <f>+IFERROR(IF(ISBLANK(VLOOKUP(CONCATENATE($F42,"_",AS$4),Subtecnica_2,MATCH(AS$3,'Sub. Técnica'!$F$26:$O$26,0),0)),"",VLOOKUP(CONCATENATE($F42,"_",AS$4),Subtecnica_2,MATCH(AS$3,'Sub. Técnica'!$F$26:$O$26,0),0)),"")</f>
        <v/>
      </c>
      <c r="AT42" t="str">
        <f>+IFERROR(IF(ISBLANK(VLOOKUP(CONCATENATE($F42,"_",AT$4),Subtecnica_2,MATCH(AT$3,'Sub. Técnica'!$F$26:$O$26,0),0)),"",VLOOKUP(CONCATENATE($F42,"_",AT$4),Subtecnica_2,MATCH(AT$3,'Sub. Técnica'!$F$26:$O$26,0),0)),"")</f>
        <v/>
      </c>
      <c r="AU42" t="str">
        <f>+IFERROR(IF(ISBLANK(VLOOKUP(CONCATENATE($F42,"_",AU$4),Subtecnica_2,MATCH(AU$3,'Sub. Técnica'!$F$26:$O$26,0),0)),"",VLOOKUP(CONCATENATE($F42,"_",AU$4),Subtecnica_2,MATCH(AU$3,'Sub. Técnica'!$F$26:$O$26,0),0)),"")</f>
        <v/>
      </c>
      <c r="AV42" t="str">
        <f>+IFERROR(IF(ISBLANK(VLOOKUP(CONCATENATE($F42,"_",AV$4),Subtecnica_2,MATCH(AV$3,'Sub. Técnica'!$F$26:$O$26,0),0)),"",VLOOKUP(CONCATENATE($F42,"_",AV$4),Subtecnica_2,MATCH(AV$3,'Sub. Técnica'!$F$26:$O$26,0),0)),"")</f>
        <v/>
      </c>
      <c r="AW42" t="str">
        <f>+IFERROR(IF(ISBLANK(VLOOKUP(CONCATENATE($F42,"_",AW$4),Subtecnica_2,MATCH(AW$3,'Sub. Técnica'!$F$26:$O$26,0),0)),"",VLOOKUP(CONCATENATE($F42,"_",AW$4),Subtecnica_2,MATCH(AW$3,'Sub. Técnica'!$F$26:$O$26,0),0)),"")</f>
        <v/>
      </c>
      <c r="AX42" t="str">
        <f>+IFERROR(IF(ISBLANK(VLOOKUP(CONCATENATE($F42,"_",AX$4),Subtecnica_2,MATCH(AX$3,'Sub. Técnica'!$F$26:$O$26,0),0)),"",VLOOKUP(CONCATENATE($F42,"_",AX$4),Subtecnica_2,MATCH(AX$3,'Sub. Técnica'!$F$26:$O$26,0),0)),"")</f>
        <v/>
      </c>
      <c r="AY42" t="str">
        <f>+IFERROR(IF(ISBLANK(VLOOKUP(CONCATENATE($F42,"_",AY$4),Subtecnica_2,MATCH(AY$3,'Sub. Técnica'!$F$26:$O$26,0),0)),"",VLOOKUP(CONCATENATE($F42,"_",AY$4),Subtecnica_2,MATCH(AY$3,'Sub. Técnica'!$F$26:$O$26,0),0)),"")</f>
        <v/>
      </c>
      <c r="AZ42" t="str">
        <f>+IFERROR(IF(ISBLANK(VLOOKUP(CONCATENATE($F42,"_",AZ$4),Subtecnica_2,MATCH(AZ$3,'Sub. Técnica'!$F$26:$O$26,0),0)),"",VLOOKUP(CONCATENATE($F42,"_",AZ$4),Subtecnica_2,MATCH(AZ$3,'Sub. Técnica'!$F$26:$O$26,0),0)),"")</f>
        <v/>
      </c>
      <c r="BA42" t="str">
        <f>+IFERROR(IF(ISBLANK(VLOOKUP(CONCATENATE($F42,"_",BA$4),Subtecnica_2,MATCH(BA$3,'Sub. Técnica'!$F$26:$O$26,0),0)),"",VLOOKUP(CONCATENATE($F42,"_",BA$4),Subtecnica_2,MATCH(BA$3,'Sub. Técnica'!$F$26:$O$26,0),0)),"")</f>
        <v/>
      </c>
      <c r="BB42" t="str">
        <f>+IFERROR(IF(ISBLANK(VLOOKUP(CONCATENATE($F42,"_",BB$4),Subtecnica_2,MATCH(BB$3,'Sub. Técnica'!$F$26:$O$26,0),0)),"",VLOOKUP(CONCATENATE($F42,"_",BB$4),Subtecnica_2,MATCH(BB$3,'Sub. Técnica'!$F$26:$O$26,0),0)),"")</f>
        <v/>
      </c>
      <c r="BC42">
        <f t="shared" si="10"/>
        <v>0</v>
      </c>
      <c r="BD42">
        <f t="shared" si="10"/>
        <v>0</v>
      </c>
      <c r="BE42" s="129" t="str">
        <f>+IFERROR(IF(ISBLANK(VLOOKUP(CONCATENATE($F42,"_",BE$4),P1143_4,MATCH(BE$3,PAAC!$E$19:$M$19,0),0)),"",VLOOKUP(CONCATENATE($F42,"_",BE$4),P1143_4,MATCH(BE$3,PAAC!$E$19:$M$19,0),0)),"")</f>
        <v/>
      </c>
      <c r="BF42" s="129" t="str">
        <f>+IFERROR(IF(ISBLANK(VLOOKUP(CONCATENATE($F42,"_",BF$4),P1143_4,MATCH(BF$3,PAAC!$E$19:$M$19,0),0)),"",VLOOKUP(CONCATENATE($F42,"_",BF$4),P1143_4,MATCH(BF$3,PAAC!$E$19:$M$19,0),0)),"")</f>
        <v/>
      </c>
      <c r="BG42" s="129" t="str">
        <f>+IFERROR(IF(ISBLANK(VLOOKUP(CONCATENATE($F42,"_",BG$4),P1143_4,MATCH(BG$3,PAAC!$E$19:$M$19,0),0)),"",VLOOKUP(CONCATENATE($F42,"_",BG$4),P1143_4,MATCH(BG$3,PAAC!$E$19:$M$19,0),0)),"")</f>
        <v/>
      </c>
      <c r="BH42" s="129" t="str">
        <f>+IFERROR(IF(ISBLANK(VLOOKUP(CONCATENATE($F42,"_",BH$4),P1143_4,MATCH(BH$3,PAAC!$E$19:$M$19,0),0)),"",VLOOKUP(CONCATENATE($F42,"_",BH$4),P1143_4,MATCH(BH$3,PAAC!$E$19:$M$19,0),0)),"")</f>
        <v/>
      </c>
      <c r="BI42" s="129" t="str">
        <f>+IFERROR(IF(ISBLANK(VLOOKUP(CONCATENATE($F42,"_",BI$4),P1143_4,MATCH(BI$3,PAAC!$E$19:$M$19,0),0)),"",VLOOKUP(CONCATENATE($F42,"_",BI$4),P1143_4,MATCH(BI$3,PAAC!$E$19:$M$19,0),0)),"")</f>
        <v/>
      </c>
      <c r="BJ42" s="129" t="str">
        <f>+IFERROR(IF(ISBLANK(VLOOKUP(CONCATENATE($F42,"_",BJ$4),P1143_4,MATCH(BJ$3,PAAC!$E$19:$M$19,0),0)),"",VLOOKUP(CONCATENATE($F42,"_",BJ$4),P1143_4,MATCH(BJ$3,PAAC!$E$19:$M$19,0),0)),"")</f>
        <v/>
      </c>
      <c r="BK42" s="129" t="str">
        <f>+IFERROR(IF(ISBLANK(VLOOKUP(CONCATENATE($F42,"_",BK$4),P1143_4,MATCH(BK$3,PAAC!$E$19:$M$19,0),0)),"",VLOOKUP(CONCATENATE($F42,"_",BK$4),P1143_4,MATCH(BK$3,PAAC!$E$19:$M$19,0),0)),"")</f>
        <v/>
      </c>
      <c r="BL42" s="129" t="str">
        <f>+IFERROR(IF(ISBLANK(VLOOKUP(CONCATENATE($F42,"_",BL$4),P1143_4,MATCH(BL$3,PAAC!$E$19:$M$19,0),0)),"",VLOOKUP(CONCATENATE($F42,"_",BL$4),P1143_4,MATCH(BL$3,PAAC!$E$19:$M$19,0),0)),"")</f>
        <v/>
      </c>
      <c r="BM42" s="129" t="str">
        <f>+IFERROR(IF(ISBLANK(VLOOKUP(CONCATENATE($F42,"_",BM$4),P1143_4,MATCH(BM$3,PAAC!$E$19:$M$19,0),0)),"",VLOOKUP(CONCATENATE($F42,"_",BM$4),P1143_4,MATCH(BM$3,PAAC!$E$19:$M$19,0),0)),"")</f>
        <v/>
      </c>
      <c r="BN42" s="129" t="str">
        <f>+IFERROR(IF(ISBLANK(VLOOKUP(CONCATENATE($F42,"_",BN$4),P1143_4,MATCH(BN$3,PAAC!$E$19:$M$19,0),0)),"",VLOOKUP(CONCATENATE($F42,"_",BN$4),P1143_4,MATCH(BN$3,PAAC!$E$19:$M$19,0),0)),"")</f>
        <v/>
      </c>
      <c r="BO42" s="129" t="str">
        <f>+IFERROR(IF(ISBLANK(VLOOKUP(CONCATENATE($F42,"_",BO$4),P1143_4,MATCH(BO$3,PAAC!$E$19:$M$19,0),0)),"",VLOOKUP(CONCATENATE($F42,"_",BO$4),P1143_4,MATCH(BO$3,PAAC!$E$19:$M$19,0),0)),"")</f>
        <v/>
      </c>
      <c r="BP42" s="129" t="str">
        <f>+IFERROR(IF(ISBLANK(VLOOKUP(CONCATENATE($F42,"_",BP$4),P1143_4,MATCH(BP$3,PAAC!$E$19:$M$19,0),0)),"",VLOOKUP(CONCATENATE($F42,"_",BP$4),P1143_4,MATCH(BP$3,PAAC!$E$19:$M$19,0),0)),"")</f>
        <v/>
      </c>
      <c r="BQ42" s="129" t="str">
        <f>+IFERROR(IF(ISBLANK(VLOOKUP(CONCATENATE($F42,"_",BQ$4),P1143_4,MATCH(BQ$3,PAAC!$E$19:$M$19,0),0)),"",VLOOKUP(CONCATENATE($F42,"_",BQ$4),P1143_4,MATCH(BQ$3,PAAC!$E$19:$M$19,0),0)),"")</f>
        <v/>
      </c>
      <c r="BR42" s="129" t="str">
        <f>+IFERROR(IF(ISBLANK(VLOOKUP(CONCATENATE($F42,"_",BR$4),P1143_4,MATCH(BR$3,PAAC!$E$19:$M$19,0),0)),"",VLOOKUP(CONCATENATE($F42,"_",BR$4),P1143_4,MATCH(BR$3,PAAC!$E$19:$M$19,0),0)),"")</f>
        <v/>
      </c>
      <c r="BS42" s="129" t="str">
        <f>+IFERROR(IF(ISBLANK(VLOOKUP(CONCATENATE($F42,"_",BS$4),P1143_4,MATCH(BS$3,PAAC!$E$19:$M$19,0),0)),"",VLOOKUP(CONCATENATE($F42,"_",BS$4),P1143_4,MATCH(BS$3,PAAC!$E$19:$M$19,0),0)),"")</f>
        <v/>
      </c>
      <c r="BT42" s="129" t="str">
        <f>+IFERROR(IF(ISBLANK(VLOOKUP(CONCATENATE($F42,"_",BT$4),P1143_4,MATCH(BT$3,PAAC!$E$19:$M$19,0),0)),"",VLOOKUP(CONCATENATE($F42,"_",BT$4),P1143_4,MATCH(BT$3,PAAC!$E$19:$M$19,0),0)),"")</f>
        <v/>
      </c>
      <c r="BU42" s="129" t="str">
        <f>+IFERROR(IF(ISBLANK(VLOOKUP(CONCATENATE($F42,"_",BU$4),P1143_4,MATCH(BU$3,PAAC!$E$19:$M$19,0),0)),"",VLOOKUP(CONCATENATE($F42,"_",BU$4),P1143_4,MATCH(BU$3,PAAC!$E$19:$M$19,0),0)),"")</f>
        <v/>
      </c>
      <c r="BV42" s="129" t="str">
        <f>+IFERROR(IF(ISBLANK(VLOOKUP(CONCATENATE($F42,"_",BV$4),P1143_4,MATCH(BV$3,PAAC!$E$19:$M$19,0),0)),"",VLOOKUP(CONCATENATE($F42,"_",BV$4),P1143_4,MATCH(BV$3,PAAC!$E$19:$M$19,0),0)),"")</f>
        <v/>
      </c>
      <c r="BW42" s="129" t="str">
        <f>+IFERROR(IF(ISBLANK(VLOOKUP(CONCATENATE($F42,"_",BW$4),P1143_4,MATCH(BW$3,PAAC!$E$19:$M$19,0),0)),"",VLOOKUP(CONCATENATE($F42,"_",BW$4),P1143_4,MATCH(BW$3,PAAC!$E$19:$M$19,0),0)),"")</f>
        <v/>
      </c>
      <c r="BX42" s="129" t="str">
        <f>+IFERROR(IF(ISBLANK(VLOOKUP(CONCATENATE($F42,"_",BX$4),P1143_4,MATCH(BX$3,PAAC!$E$19:$M$19,0),0)),"",VLOOKUP(CONCATENATE($F42,"_",BX$4),P1143_4,MATCH(BX$3,PAAC!$E$19:$M$19,0),0)),"")</f>
        <v/>
      </c>
      <c r="BY42" s="129" t="str">
        <f>+IFERROR(IF(ISBLANK(VLOOKUP(CONCATENATE($F42,"_",BY$4),P1143_4,MATCH(BY$3,PAAC!$E$19:$M$19,0),0)),"",VLOOKUP(CONCATENATE($F42,"_",BY$4),P1143_4,MATCH(BY$3,PAAC!$E$19:$M$19,0),0)),"")</f>
        <v/>
      </c>
      <c r="BZ42" s="129" t="str">
        <f>+IFERROR(IF(ISBLANK(VLOOKUP(CONCATENATE($F42,"_",BZ$4),P1143_4,MATCH(BZ$3,PAAC!$E$19:$M$19,0),0)),"",VLOOKUP(CONCATENATE($F42,"_",BZ$4),P1143_4,MATCH(BZ$3,PAAC!$E$19:$M$19,0),0)),"")</f>
        <v/>
      </c>
      <c r="CA42" s="129" t="str">
        <f>+IFERROR(IF(ISBLANK(VLOOKUP(CONCATENATE($F42,"_",CA$4),P1143_4,MATCH(CA$3,PAAC!$E$19:$M$19,0),0)),"",VLOOKUP(CONCATENATE($F42,"_",CA$4),P1143_4,MATCH(CA$3,PAAC!$E$19:$M$19,0),0)),"")</f>
        <v/>
      </c>
      <c r="CB42" s="129" t="str">
        <f>+IFERROR(IF(ISBLANK(VLOOKUP(CONCATENATE($F42,"_",CB$4),P1143_4,MATCH(CB$3,PAAC!$E$19:$M$19,0),0)),"",VLOOKUP(CONCATENATE($F42,"_",CB$4),P1143_4,MATCH(CB$3,PAAC!$E$19:$M$19,0),0)),"")</f>
        <v/>
      </c>
      <c r="CC42" s="129" t="str">
        <f>+IFERROR(IF(ISBLANK(VLOOKUP(CONCATENATE($F42,"_",CC$4),P1143_4,MATCH(CC$3,PAAC!$E$19:$M$19,0),0)),"",VLOOKUP(CONCATENATE($F42,"_",CC$4),P1143_4,MATCH(CC$3,PAAC!$E$19:$M$19,0),0)),"")</f>
        <v/>
      </c>
      <c r="CD42" s="129" t="str">
        <f t="shared" si="11"/>
        <v/>
      </c>
      <c r="CE42" s="129" t="str">
        <f t="shared" si="3"/>
        <v/>
      </c>
      <c r="CF42" s="129" t="str">
        <f t="shared" si="4"/>
        <v/>
      </c>
      <c r="CG42" s="129" t="str">
        <f t="shared" si="5"/>
        <v/>
      </c>
      <c r="CH42" s="129" t="str">
        <f t="shared" si="6"/>
        <v/>
      </c>
      <c r="CI42">
        <f t="shared" si="31"/>
        <v>0</v>
      </c>
      <c r="CJ42">
        <f t="shared" si="31"/>
        <v>0</v>
      </c>
      <c r="CK42">
        <f t="shared" si="31"/>
        <v>0</v>
      </c>
      <c r="CL42">
        <f t="shared" si="31"/>
        <v>0</v>
      </c>
      <c r="CM42">
        <f t="shared" si="31"/>
        <v>0</v>
      </c>
      <c r="CN42">
        <f t="shared" si="31"/>
        <v>0</v>
      </c>
      <c r="CO42">
        <f t="shared" si="31"/>
        <v>0</v>
      </c>
      <c r="CP42">
        <f t="shared" si="31"/>
        <v>0</v>
      </c>
      <c r="CQ42">
        <f t="shared" si="31"/>
        <v>0</v>
      </c>
      <c r="CR42">
        <f t="shared" si="31"/>
        <v>0</v>
      </c>
      <c r="CS42">
        <f t="shared" si="32"/>
        <v>0</v>
      </c>
      <c r="CT42">
        <f t="shared" si="32"/>
        <v>0</v>
      </c>
      <c r="CU42">
        <f t="shared" si="32"/>
        <v>0</v>
      </c>
      <c r="CV42">
        <f t="shared" si="32"/>
        <v>0</v>
      </c>
      <c r="CW42">
        <f t="shared" si="32"/>
        <v>0</v>
      </c>
      <c r="CX42">
        <f t="shared" si="32"/>
        <v>0</v>
      </c>
      <c r="CY42">
        <f t="shared" si="32"/>
        <v>0</v>
      </c>
      <c r="CZ42">
        <f t="shared" si="32"/>
        <v>0</v>
      </c>
      <c r="DA42">
        <f t="shared" si="32"/>
        <v>0</v>
      </c>
      <c r="DB42">
        <f t="shared" si="32"/>
        <v>0</v>
      </c>
      <c r="DC42">
        <f t="shared" si="33"/>
        <v>0</v>
      </c>
      <c r="DD42">
        <f t="shared" si="33"/>
        <v>0</v>
      </c>
      <c r="DE42" t="e">
        <f t="shared" si="33"/>
        <v>#REF!</v>
      </c>
      <c r="DF42" t="e">
        <f t="shared" si="33"/>
        <v>#REF!</v>
      </c>
      <c r="DG42" t="e">
        <f t="shared" si="33"/>
        <v>#REF!</v>
      </c>
      <c r="DH42" t="e">
        <f t="shared" si="33"/>
        <v>#REF!</v>
      </c>
      <c r="DI42" t="e">
        <f t="shared" si="33"/>
        <v>#REF!</v>
      </c>
      <c r="DJ42" t="e">
        <f t="shared" si="33"/>
        <v>#REF!</v>
      </c>
      <c r="DK42" t="e">
        <f t="shared" si="33"/>
        <v>#REF!</v>
      </c>
      <c r="DL42" t="e">
        <f t="shared" si="33"/>
        <v>#REF!</v>
      </c>
      <c r="DM42" t="e">
        <f t="shared" si="34"/>
        <v>#REF!</v>
      </c>
      <c r="DN42" t="e">
        <f t="shared" si="34"/>
        <v>#REF!</v>
      </c>
      <c r="DO42" t="e">
        <f t="shared" si="34"/>
        <v>#REF!</v>
      </c>
      <c r="DP42" t="e">
        <f t="shared" si="34"/>
        <v>#REF!</v>
      </c>
      <c r="DQ42" t="e">
        <f t="shared" si="34"/>
        <v>#REF!</v>
      </c>
      <c r="DR42" t="e">
        <f t="shared" si="34"/>
        <v>#REF!</v>
      </c>
      <c r="DS42" t="e">
        <f t="shared" si="34"/>
        <v>#REF!</v>
      </c>
      <c r="DT42" t="e">
        <f t="shared" si="34"/>
        <v>#REF!</v>
      </c>
      <c r="DU42" t="e">
        <f t="shared" si="34"/>
        <v>#REF!</v>
      </c>
      <c r="DV42" t="e">
        <f t="shared" si="34"/>
        <v>#REF!</v>
      </c>
      <c r="DW42" t="e">
        <f t="shared" si="34"/>
        <v>#REF!</v>
      </c>
      <c r="DX42" t="e">
        <f t="shared" si="34"/>
        <v>#REF!</v>
      </c>
    </row>
    <row r="43" spans="1:128" x14ac:dyDescent="0.3">
      <c r="A43" s="423">
        <f t="shared" si="16"/>
        <v>37</v>
      </c>
      <c r="B43" t="str">
        <f t="shared" si="17"/>
        <v>2_Subdirección Técnica de Desarrollo Institucional</v>
      </c>
      <c r="C43">
        <f t="shared" si="8"/>
        <v>2</v>
      </c>
      <c r="D43" t="str">
        <f t="shared" si="0"/>
        <v>Subdirección Técnica de Desarrollo Institucional</v>
      </c>
      <c r="E43" t="str">
        <f t="shared" si="1"/>
        <v>std</v>
      </c>
      <c r="F43" s="208">
        <f>'Sub. Técnica'!D20</f>
        <v>37</v>
      </c>
      <c r="G43" t="str">
        <f t="shared" si="30"/>
        <v>Creciente</v>
      </c>
      <c r="H43" t="str">
        <f t="shared" si="30"/>
        <v>Porcentaje</v>
      </c>
      <c r="I43">
        <f t="shared" si="30"/>
        <v>0</v>
      </c>
      <c r="J43">
        <f t="shared" si="30"/>
        <v>0.3</v>
      </c>
      <c r="K43" t="str">
        <f>+IFERROR(VLOOKUP($F43,Subtecnica_1,MATCH(K$5,'Sub. Técnica'!$D$9:$V$9,0),0),"")</f>
        <v>Suma</v>
      </c>
      <c r="L43">
        <f>+IFERROR(VLOOKUP($F43,Subtecnica_1,MATCH(L$5,'Sub. Técnica'!$D$9:$V$9,0),0),"")</f>
        <v>0</v>
      </c>
      <c r="M43">
        <f t="shared" si="35"/>
        <v>0</v>
      </c>
      <c r="N43">
        <f>+IFERROR(VLOOKUP($F43,Subtecnica_1,MATCH(N$5,'Sub. Técnica'!$D$9:$V$9,0),0),"")</f>
        <v>0</v>
      </c>
      <c r="O43">
        <f>+IFERROR(VLOOKUP($F43,Subtecnica_1,MATCH(O$5,'Sub. Técnica'!$D$9:$V$9,0),0),"")</f>
        <v>0</v>
      </c>
      <c r="P43">
        <f>+IFERROR(VLOOKUP($F43,Subtecnica_1,MATCH(P$5,'Sub. Técnica'!$D$9:$V$9,0),0),"")</f>
        <v>0</v>
      </c>
      <c r="Q43">
        <f>+IFERROR(VLOOKUP($F43,Subtecnica_1,MATCH(Q$5,'Sub. Técnica'!$D$9:$V$9,0),0),"")</f>
        <v>0</v>
      </c>
      <c r="R43">
        <f>+IFERROR(VLOOKUP($F43,Subtecnica_1,MATCH(R$5,'Sub. Técnica'!$D$9:$V$9,0),0),"")</f>
        <v>0</v>
      </c>
      <c r="S43">
        <f>+IFERROR(VLOOKUP($F43,Subtecnica_1,MATCH(S$5,'Sub. Técnica'!$D$9:$V$9,0),0),"")</f>
        <v>0</v>
      </c>
      <c r="T43">
        <f>+IFERROR(VLOOKUP($F43,Subtecnica_1,MATCH(T$5,'Sub. Técnica'!$D$9:$V$9,0),0),"")</f>
        <v>50</v>
      </c>
      <c r="U43" t="str">
        <f>+IFERROR(VLOOKUP($F43,Subtecnica_1,MATCH(U$5,'Sub. Técnica'!$D$9:$V$9,0),0),"")</f>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
      <c r="V43" t="str">
        <f>+IFERROR(VLOOKUP($F43,Subtecnica_1,MATCH(V$5,'Sub. Técnica'!$D$9:$V$9,0),0),"")</f>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W43">
        <f>+IFERROR(VLOOKUP($F43,Subtecnica_1,MATCH(W$5,'Sub. Técnica'!$D$9:$V$9,0),0),"")</f>
        <v>0</v>
      </c>
      <c r="X43" t="str">
        <f>+IFERROR(VLOOKUP($F43,Subtecnica_1,MATCH(X$5,'Sub. Técnica'!$D$9:$V$9,0),0),"")</f>
        <v>Informes de resultado realizados por la Dirección Distrital de Desarrollo Institucional de la Secretaría General</v>
      </c>
      <c r="Y43" t="str">
        <f>+IFERROR(IF(ISBLANK(VLOOKUP(CONCATENATE($F43,"_",Y$4),Subtecnica_2,MATCH(Y$3,'Sub. Técnica'!$F$26:$O$26,0),0)),"",VLOOKUP(CONCATENATE($F43,"_",Y$4),Subtecnica_2,MATCH(Y$3,'Sub. Técnica'!$F$26:$O$26,0),0)),"")</f>
        <v/>
      </c>
      <c r="Z43" t="str">
        <f>+IFERROR(IF(ISBLANK(VLOOKUP(CONCATENATE($F43,"_",Z$4),Subtecnica_2,MATCH(Z$3,'Sub. Técnica'!$F$26:$O$26,0),0)),"",VLOOKUP(CONCATENATE($F43,"_",Z$4),Subtecnica_2,MATCH(Z$3,'Sub. Técnica'!$F$26:$O$26,0),0)),"")</f>
        <v/>
      </c>
      <c r="AA43" t="str">
        <f>+IFERROR(IF(ISBLANK(VLOOKUP(CONCATENATE($F43,"_",AA$4),Subtecnica_2,MATCH(AA$3,'Sub. Técnica'!$F$26:$O$26,0),0)),"",VLOOKUP(CONCATENATE($F43,"_",AA$4),Subtecnica_2,MATCH(AA$3,'Sub. Técnica'!$F$26:$O$26,0),0)),"")</f>
        <v/>
      </c>
      <c r="AB43" t="str">
        <f>+IFERROR(IF(ISBLANK(VLOOKUP(CONCATENATE($F43,"_",AB$4),Subtecnica_2,MATCH(AB$3,'Sub. Técnica'!$F$26:$O$26,0),0)),"",VLOOKUP(CONCATENATE($F43,"_",AB$4),Subtecnica_2,MATCH(AB$3,'Sub. Técnica'!$F$26:$O$26,0),0)),"")</f>
        <v/>
      </c>
      <c r="AC43" t="str">
        <f>+IFERROR(IF(ISBLANK(VLOOKUP(CONCATENATE($F43,"_",AC$4),Subtecnica_2,MATCH(AC$3,'Sub. Técnica'!$F$26:$O$26,0),0)),"",VLOOKUP(CONCATENATE($F43,"_",AC$4),Subtecnica_2,MATCH(AC$3,'Sub. Técnica'!$F$26:$O$26,0),0)),"")</f>
        <v/>
      </c>
      <c r="AD43" t="str">
        <f>+IFERROR(IF(ISBLANK(VLOOKUP(CONCATENATE($F43,"_",AD$4),Subtecnica_2,MATCH(AD$3,'Sub. Técnica'!$F$26:$O$26,0),0)),"",VLOOKUP(CONCATENATE($F43,"_",AD$4),Subtecnica_2,MATCH(AD$3,'Sub. Técnica'!$F$26:$O$26,0),0)),"")</f>
        <v/>
      </c>
      <c r="AE43" t="str">
        <f>+IFERROR(IF(ISBLANK(VLOOKUP(CONCATENATE($F43,"_",AE$4),Subtecnica_2,MATCH(AE$3,'Sub. Técnica'!$F$26:$O$26,0),0)),"",VLOOKUP(CONCATENATE($F43,"_",AE$4),Subtecnica_2,MATCH(AE$3,'Sub. Técnica'!$F$26:$O$26,0),0)),"")</f>
        <v/>
      </c>
      <c r="AF43" t="str">
        <f>+IFERROR(IF(ISBLANK(VLOOKUP(CONCATENATE($F43,"_",AF$4),Subtecnica_2,MATCH(AF$3,'Sub. Técnica'!$F$26:$O$26,0),0)),"",VLOOKUP(CONCATENATE($F43,"_",AF$4),Subtecnica_2,MATCH(AF$3,'Sub. Técnica'!$F$26:$O$26,0),0)),"")</f>
        <v/>
      </c>
      <c r="AG43" t="str">
        <f>+IFERROR(IF(ISBLANK(VLOOKUP(CONCATENATE($F43,"_",AG$4),Subtecnica_2,MATCH(AG$3,'Sub. Técnica'!$F$26:$O$26,0),0)),"",VLOOKUP(CONCATENATE($F43,"_",AG$4),Subtecnica_2,MATCH(AG$3,'Sub. Técnica'!$F$26:$O$26,0),0)),"")</f>
        <v/>
      </c>
      <c r="AH43" t="str">
        <f>+IFERROR(IF(ISBLANK(VLOOKUP(CONCATENATE($F43,"_",AH$4),Subtecnica_2,MATCH(AH$3,'Sub. Técnica'!$F$26:$O$26,0),0)),"",VLOOKUP(CONCATENATE($F43,"_",AH$4),Subtecnica_2,MATCH(AH$3,'Sub. Técnica'!$F$26:$O$26,0),0)),"")</f>
        <v/>
      </c>
      <c r="AI43" t="str">
        <f>+IFERROR(IF(ISBLANK(VLOOKUP(CONCATENATE($F43,"_",AI$4),Subtecnica_2,MATCH(AI$3,'Sub. Técnica'!$F$26:$O$26,0),0)),"",VLOOKUP(CONCATENATE($F43,"_",AI$4),Subtecnica_2,MATCH(AI$3,'Sub. Técnica'!$F$26:$O$26,0),0)),"")</f>
        <v/>
      </c>
      <c r="AJ43" t="str">
        <f>+IFERROR(IF(ISBLANK(VLOOKUP(CONCATENATE($F43,"_",AJ$4),Subtecnica_2,MATCH(AJ$3,'Sub. Técnica'!$F$26:$O$26,0),0)),"",VLOOKUP(CONCATENATE($F43,"_",AJ$4),Subtecnica_2,MATCH(AJ$3,'Sub. Técnica'!$F$26:$O$26,0),0)),"")</f>
        <v/>
      </c>
      <c r="AK43" t="str">
        <f>+IFERROR(IF(ISBLANK(VLOOKUP(CONCATENATE($F43,"_",AK$4),Subtecnica_2,MATCH(AK$3,'Sub. Técnica'!$F$26:$O$26,0),0)),"",VLOOKUP(CONCATENATE($F43,"_",AK$4),Subtecnica_2,MATCH(AK$3,'Sub. Técnica'!$F$26:$O$26,0),0)),"")</f>
        <v/>
      </c>
      <c r="AL43" t="str">
        <f>+IFERROR(IF(ISBLANK(VLOOKUP(CONCATENATE($F43,"_",AL$4),Subtecnica_2,MATCH(AL$3,'Sub. Técnica'!$F$26:$O$26,0),0)),"",VLOOKUP(CONCATENATE($F43,"_",AL$4),Subtecnica_2,MATCH(AL$3,'Sub. Técnica'!$F$26:$O$26,0),0)),"")</f>
        <v/>
      </c>
      <c r="AM43" t="str">
        <f>+IFERROR(IF(ISBLANK(VLOOKUP(CONCATENATE($F43,"_",AM$4),Subtecnica_2,MATCH(AM$3,'Sub. Técnica'!$F$26:$O$26,0),0)),"",VLOOKUP(CONCATENATE($F43,"_",AM$4),Subtecnica_2,MATCH(AM$3,'Sub. Técnica'!$F$26:$O$26,0),0)),"")</f>
        <v/>
      </c>
      <c r="AN43" t="str">
        <f>+IFERROR(IF(ISBLANK(VLOOKUP(CONCATENATE($F43,"_",AN$4),Subtecnica_2,MATCH(AN$3,'Sub. Técnica'!$F$26:$O$26,0),0)),"",VLOOKUP(CONCATENATE($F43,"_",AN$4),Subtecnica_2,MATCH(AN$3,'Sub. Técnica'!$F$26:$O$26,0),0)),"")</f>
        <v/>
      </c>
      <c r="AO43" t="str">
        <f>+IFERROR(IF(ISBLANK(VLOOKUP(CONCATENATE($F43,"_",AO$4),Subtecnica_2,MATCH(AO$3,'Sub. Técnica'!$F$26:$O$26,0),0)),"",VLOOKUP(CONCATENATE($F43,"_",AO$4),Subtecnica_2,MATCH(AO$3,'Sub. Técnica'!$F$26:$O$26,0),0)),"")</f>
        <v/>
      </c>
      <c r="AP43" t="str">
        <f>+IFERROR(IF(ISBLANK(VLOOKUP(CONCATENATE($F43,"_",AP$4),Subtecnica_2,MATCH(AP$3,'Sub. Técnica'!$F$26:$O$26,0),0)),"",VLOOKUP(CONCATENATE($F43,"_",AP$4),Subtecnica_2,MATCH(AP$3,'Sub. Técnica'!$F$26:$O$26,0),0)),"")</f>
        <v/>
      </c>
      <c r="AQ43" t="str">
        <f>+IFERROR(IF(ISBLANK(VLOOKUP(CONCATENATE($F43,"_",AQ$4),Subtecnica_2,MATCH(AQ$3,'Sub. Técnica'!$F$26:$O$26,0),0)),"",VLOOKUP(CONCATENATE($F43,"_",AQ$4),Subtecnica_2,MATCH(AQ$3,'Sub. Técnica'!$F$26:$O$26,0),0)),"")</f>
        <v/>
      </c>
      <c r="AR43" t="str">
        <f>+IFERROR(IF(ISBLANK(VLOOKUP(CONCATENATE($F43,"_",AR$4),Subtecnica_2,MATCH(AR$3,'Sub. Técnica'!$F$26:$O$26,0),0)),"",VLOOKUP(CONCATENATE($F43,"_",AR$4),Subtecnica_2,MATCH(AR$3,'Sub. Técnica'!$F$26:$O$26,0),0)),"")</f>
        <v/>
      </c>
      <c r="AS43" t="str">
        <f>+IFERROR(IF(ISBLANK(VLOOKUP(CONCATENATE($F43,"_",AS$4),Subtecnica_2,MATCH(AS$3,'Sub. Técnica'!$F$26:$O$26,0),0)),"",VLOOKUP(CONCATENATE($F43,"_",AS$4),Subtecnica_2,MATCH(AS$3,'Sub. Técnica'!$F$26:$O$26,0),0)),"")</f>
        <v/>
      </c>
      <c r="AT43" t="str">
        <f>+IFERROR(IF(ISBLANK(VLOOKUP(CONCATENATE($F43,"_",AT$4),Subtecnica_2,MATCH(AT$3,'Sub. Técnica'!$F$26:$O$26,0),0)),"",VLOOKUP(CONCATENATE($F43,"_",AT$4),Subtecnica_2,MATCH(AT$3,'Sub. Técnica'!$F$26:$O$26,0),0)),"")</f>
        <v/>
      </c>
      <c r="AU43" t="str">
        <f>+IFERROR(IF(ISBLANK(VLOOKUP(CONCATENATE($F43,"_",AU$4),Subtecnica_2,MATCH(AU$3,'Sub. Técnica'!$F$26:$O$26,0),0)),"",VLOOKUP(CONCATENATE($F43,"_",AU$4),Subtecnica_2,MATCH(AU$3,'Sub. Técnica'!$F$26:$O$26,0),0)),"")</f>
        <v/>
      </c>
      <c r="AV43" t="str">
        <f>+IFERROR(IF(ISBLANK(VLOOKUP(CONCATENATE($F43,"_",AV$4),Subtecnica_2,MATCH(AV$3,'Sub. Técnica'!$F$26:$O$26,0),0)),"",VLOOKUP(CONCATENATE($F43,"_",AV$4),Subtecnica_2,MATCH(AV$3,'Sub. Técnica'!$F$26:$O$26,0),0)),"")</f>
        <v/>
      </c>
      <c r="AW43" t="str">
        <f>+IFERROR(IF(ISBLANK(VLOOKUP(CONCATENATE($F43,"_",AW$4),Subtecnica_2,MATCH(AW$3,'Sub. Técnica'!$F$26:$O$26,0),0)),"",VLOOKUP(CONCATENATE($F43,"_",AW$4),Subtecnica_2,MATCH(AW$3,'Sub. Técnica'!$F$26:$O$26,0),0)),"")</f>
        <v/>
      </c>
      <c r="AX43" t="str">
        <f>+IFERROR(IF(ISBLANK(VLOOKUP(CONCATENATE($F43,"_",AX$4),Subtecnica_2,MATCH(AX$3,'Sub. Técnica'!$F$26:$O$26,0),0)),"",VLOOKUP(CONCATENATE($F43,"_",AX$4),Subtecnica_2,MATCH(AX$3,'Sub. Técnica'!$F$26:$O$26,0),0)),"")</f>
        <v/>
      </c>
      <c r="AY43" t="str">
        <f>+IFERROR(IF(ISBLANK(VLOOKUP(CONCATENATE($F43,"_",AY$4),Subtecnica_2,MATCH(AY$3,'Sub. Técnica'!$F$26:$O$26,0),0)),"",VLOOKUP(CONCATENATE($F43,"_",AY$4),Subtecnica_2,MATCH(AY$3,'Sub. Técnica'!$F$26:$O$26,0),0)),"")</f>
        <v/>
      </c>
      <c r="AZ43" t="str">
        <f>+IFERROR(IF(ISBLANK(VLOOKUP(CONCATENATE($F43,"_",AZ$4),Subtecnica_2,MATCH(AZ$3,'Sub. Técnica'!$F$26:$O$26,0),0)),"",VLOOKUP(CONCATENATE($F43,"_",AZ$4),Subtecnica_2,MATCH(AZ$3,'Sub. Técnica'!$F$26:$O$26,0),0)),"")</f>
        <v/>
      </c>
      <c r="BA43" t="str">
        <f>+IFERROR(IF(ISBLANK(VLOOKUP(CONCATENATE($F43,"_",BA$4),Subtecnica_2,MATCH(BA$3,'Sub. Técnica'!$F$26:$O$26,0),0)),"",VLOOKUP(CONCATENATE($F43,"_",BA$4),Subtecnica_2,MATCH(BA$3,'Sub. Técnica'!$F$26:$O$26,0),0)),"")</f>
        <v/>
      </c>
      <c r="BB43" t="str">
        <f>+IFERROR(IF(ISBLANK(VLOOKUP(CONCATENATE($F43,"_",BB$4),Subtecnica_2,MATCH(BB$3,'Sub. Técnica'!$F$26:$O$26,0),0)),"",VLOOKUP(CONCATENATE($F43,"_",BB$4),Subtecnica_2,MATCH(BB$3,'Sub. Técnica'!$F$26:$O$26,0),0)),"")</f>
        <v/>
      </c>
      <c r="BC43">
        <f t="shared" si="10"/>
        <v>0</v>
      </c>
      <c r="BD43">
        <f t="shared" si="10"/>
        <v>0</v>
      </c>
      <c r="BE43" s="129" t="str">
        <f>+IFERROR(IF(ISBLANK(VLOOKUP(CONCATENATE($F43,"_",BE$4),P1143_4,MATCH(BE$3,PAAC!$E$19:$M$19,0),0)),"",VLOOKUP(CONCATENATE($F43,"_",BE$4),P1143_4,MATCH(BE$3,PAAC!$E$19:$M$19,0),0)),"")</f>
        <v/>
      </c>
      <c r="BF43" s="129" t="str">
        <f>+IFERROR(IF(ISBLANK(VLOOKUP(CONCATENATE($F43,"_",BF$4),P1143_4,MATCH(BF$3,PAAC!$E$19:$M$19,0),0)),"",VLOOKUP(CONCATENATE($F43,"_",BF$4),P1143_4,MATCH(BF$3,PAAC!$E$19:$M$19,0),0)),"")</f>
        <v/>
      </c>
      <c r="BG43" s="129" t="str">
        <f>+IFERROR(IF(ISBLANK(VLOOKUP(CONCATENATE($F43,"_",BG$4),P1143_4,MATCH(BG$3,PAAC!$E$19:$M$19,0),0)),"",VLOOKUP(CONCATENATE($F43,"_",BG$4),P1143_4,MATCH(BG$3,PAAC!$E$19:$M$19,0),0)),"")</f>
        <v/>
      </c>
      <c r="BH43" s="129" t="str">
        <f>+IFERROR(IF(ISBLANK(VLOOKUP(CONCATENATE($F43,"_",BH$4),P1143_4,MATCH(BH$3,PAAC!$E$19:$M$19,0),0)),"",VLOOKUP(CONCATENATE($F43,"_",BH$4),P1143_4,MATCH(BH$3,PAAC!$E$19:$M$19,0),0)),"")</f>
        <v/>
      </c>
      <c r="BI43" s="129" t="str">
        <f>+IFERROR(IF(ISBLANK(VLOOKUP(CONCATENATE($F43,"_",BI$4),P1143_4,MATCH(BI$3,PAAC!$E$19:$M$19,0),0)),"",VLOOKUP(CONCATENATE($F43,"_",BI$4),P1143_4,MATCH(BI$3,PAAC!$E$19:$M$19,0),0)),"")</f>
        <v/>
      </c>
      <c r="BJ43" s="129" t="str">
        <f>+IFERROR(IF(ISBLANK(VLOOKUP(CONCATENATE($F43,"_",BJ$4),P1143_4,MATCH(BJ$3,PAAC!$E$19:$M$19,0),0)),"",VLOOKUP(CONCATENATE($F43,"_",BJ$4),P1143_4,MATCH(BJ$3,PAAC!$E$19:$M$19,0),0)),"")</f>
        <v/>
      </c>
      <c r="BK43" s="129" t="str">
        <f>+IFERROR(IF(ISBLANK(VLOOKUP(CONCATENATE($F43,"_",BK$4),P1143_4,MATCH(BK$3,PAAC!$E$19:$M$19,0),0)),"",VLOOKUP(CONCATENATE($F43,"_",BK$4),P1143_4,MATCH(BK$3,PAAC!$E$19:$M$19,0),0)),"")</f>
        <v/>
      </c>
      <c r="BL43" s="129" t="str">
        <f>+IFERROR(IF(ISBLANK(VLOOKUP(CONCATENATE($F43,"_",BL$4),P1143_4,MATCH(BL$3,PAAC!$E$19:$M$19,0),0)),"",VLOOKUP(CONCATENATE($F43,"_",BL$4),P1143_4,MATCH(BL$3,PAAC!$E$19:$M$19,0),0)),"")</f>
        <v/>
      </c>
      <c r="BM43" s="129" t="str">
        <f>+IFERROR(IF(ISBLANK(VLOOKUP(CONCATENATE($F43,"_",BM$4),P1143_4,MATCH(BM$3,PAAC!$E$19:$M$19,0),0)),"",VLOOKUP(CONCATENATE($F43,"_",BM$4),P1143_4,MATCH(BM$3,PAAC!$E$19:$M$19,0),0)),"")</f>
        <v/>
      </c>
      <c r="BN43" s="129" t="str">
        <f>+IFERROR(IF(ISBLANK(VLOOKUP(CONCATENATE($F43,"_",BN$4),P1143_4,MATCH(BN$3,PAAC!$E$19:$M$19,0),0)),"",VLOOKUP(CONCATENATE($F43,"_",BN$4),P1143_4,MATCH(BN$3,PAAC!$E$19:$M$19,0),0)),"")</f>
        <v/>
      </c>
      <c r="BO43" s="129" t="str">
        <f>+IFERROR(IF(ISBLANK(VLOOKUP(CONCATENATE($F43,"_",BO$4),P1143_4,MATCH(BO$3,PAAC!$E$19:$M$19,0),0)),"",VLOOKUP(CONCATENATE($F43,"_",BO$4),P1143_4,MATCH(BO$3,PAAC!$E$19:$M$19,0),0)),"")</f>
        <v/>
      </c>
      <c r="BP43" s="129" t="str">
        <f>+IFERROR(IF(ISBLANK(VLOOKUP(CONCATENATE($F43,"_",BP$4),P1143_4,MATCH(BP$3,PAAC!$E$19:$M$19,0),0)),"",VLOOKUP(CONCATENATE($F43,"_",BP$4),P1143_4,MATCH(BP$3,PAAC!$E$19:$M$19,0),0)),"")</f>
        <v/>
      </c>
      <c r="BQ43" s="129" t="str">
        <f>+IFERROR(IF(ISBLANK(VLOOKUP(CONCATENATE($F43,"_",BQ$4),P1143_4,MATCH(BQ$3,PAAC!$E$19:$M$19,0),0)),"",VLOOKUP(CONCATENATE($F43,"_",BQ$4),P1143_4,MATCH(BQ$3,PAAC!$E$19:$M$19,0),0)),"")</f>
        <v/>
      </c>
      <c r="BR43" s="129" t="str">
        <f>+IFERROR(IF(ISBLANK(VLOOKUP(CONCATENATE($F43,"_",BR$4),P1143_4,MATCH(BR$3,PAAC!$E$19:$M$19,0),0)),"",VLOOKUP(CONCATENATE($F43,"_",BR$4),P1143_4,MATCH(BR$3,PAAC!$E$19:$M$19,0),0)),"")</f>
        <v/>
      </c>
      <c r="BS43" s="129" t="str">
        <f>+IFERROR(IF(ISBLANK(VLOOKUP(CONCATENATE($F43,"_",BS$4),P1143_4,MATCH(BS$3,PAAC!$E$19:$M$19,0),0)),"",VLOOKUP(CONCATENATE($F43,"_",BS$4),P1143_4,MATCH(BS$3,PAAC!$E$19:$M$19,0),0)),"")</f>
        <v/>
      </c>
      <c r="BT43" s="129" t="str">
        <f>+IFERROR(IF(ISBLANK(VLOOKUP(CONCATENATE($F43,"_",BT$4),P1143_4,MATCH(BT$3,PAAC!$E$19:$M$19,0),0)),"",VLOOKUP(CONCATENATE($F43,"_",BT$4),P1143_4,MATCH(BT$3,PAAC!$E$19:$M$19,0),0)),"")</f>
        <v/>
      </c>
      <c r="BU43" s="129" t="str">
        <f>+IFERROR(IF(ISBLANK(VLOOKUP(CONCATENATE($F43,"_",BU$4),P1143_4,MATCH(BU$3,PAAC!$E$19:$M$19,0),0)),"",VLOOKUP(CONCATENATE($F43,"_",BU$4),P1143_4,MATCH(BU$3,PAAC!$E$19:$M$19,0),0)),"")</f>
        <v/>
      </c>
      <c r="BV43" s="129" t="str">
        <f>+IFERROR(IF(ISBLANK(VLOOKUP(CONCATENATE($F43,"_",BV$4),P1143_4,MATCH(BV$3,PAAC!$E$19:$M$19,0),0)),"",VLOOKUP(CONCATENATE($F43,"_",BV$4),P1143_4,MATCH(BV$3,PAAC!$E$19:$M$19,0),0)),"")</f>
        <v/>
      </c>
      <c r="BW43" s="129" t="str">
        <f>+IFERROR(IF(ISBLANK(VLOOKUP(CONCATENATE($F43,"_",BW$4),P1143_4,MATCH(BW$3,PAAC!$E$19:$M$19,0),0)),"",VLOOKUP(CONCATENATE($F43,"_",BW$4),P1143_4,MATCH(BW$3,PAAC!$E$19:$M$19,0),0)),"")</f>
        <v/>
      </c>
      <c r="BX43" s="129" t="str">
        <f>+IFERROR(IF(ISBLANK(VLOOKUP(CONCATENATE($F43,"_",BX$4),P1143_4,MATCH(BX$3,PAAC!$E$19:$M$19,0),0)),"",VLOOKUP(CONCATENATE($F43,"_",BX$4),P1143_4,MATCH(BX$3,PAAC!$E$19:$M$19,0),0)),"")</f>
        <v/>
      </c>
      <c r="BY43" s="129" t="str">
        <f>+IFERROR(IF(ISBLANK(VLOOKUP(CONCATENATE($F43,"_",BY$4),P1143_4,MATCH(BY$3,PAAC!$E$19:$M$19,0),0)),"",VLOOKUP(CONCATENATE($F43,"_",BY$4),P1143_4,MATCH(BY$3,PAAC!$E$19:$M$19,0),0)),"")</f>
        <v/>
      </c>
      <c r="BZ43" s="129" t="str">
        <f>+IFERROR(IF(ISBLANK(VLOOKUP(CONCATENATE($F43,"_",BZ$4),P1143_4,MATCH(BZ$3,PAAC!$E$19:$M$19,0),0)),"",VLOOKUP(CONCATENATE($F43,"_",BZ$4),P1143_4,MATCH(BZ$3,PAAC!$E$19:$M$19,0),0)),"")</f>
        <v/>
      </c>
      <c r="CA43" s="129" t="str">
        <f>+IFERROR(IF(ISBLANK(VLOOKUP(CONCATENATE($F43,"_",CA$4),P1143_4,MATCH(CA$3,PAAC!$E$19:$M$19,0),0)),"",VLOOKUP(CONCATENATE($F43,"_",CA$4),P1143_4,MATCH(CA$3,PAAC!$E$19:$M$19,0),0)),"")</f>
        <v/>
      </c>
      <c r="CB43" s="129" t="str">
        <f>+IFERROR(IF(ISBLANK(VLOOKUP(CONCATENATE($F43,"_",CB$4),P1143_4,MATCH(CB$3,PAAC!$E$19:$M$19,0),0)),"",VLOOKUP(CONCATENATE($F43,"_",CB$4),P1143_4,MATCH(CB$3,PAAC!$E$19:$M$19,0),0)),"")</f>
        <v/>
      </c>
      <c r="CC43" s="129" t="str">
        <f>+IFERROR(IF(ISBLANK(VLOOKUP(CONCATENATE($F43,"_",CC$4),P1143_4,MATCH(CC$3,PAAC!$E$19:$M$19,0),0)),"",VLOOKUP(CONCATENATE($F43,"_",CC$4),P1143_4,MATCH(CC$3,PAAC!$E$19:$M$19,0),0)),"")</f>
        <v/>
      </c>
      <c r="CD43" s="129" t="str">
        <f t="shared" si="11"/>
        <v/>
      </c>
      <c r="CE43" s="129" t="str">
        <f t="shared" si="3"/>
        <v/>
      </c>
      <c r="CF43" s="129" t="str">
        <f t="shared" si="4"/>
        <v/>
      </c>
      <c r="CG43" s="129" t="str">
        <f t="shared" si="5"/>
        <v/>
      </c>
      <c r="CH43" s="129" t="str">
        <f t="shared" si="6"/>
        <v/>
      </c>
      <c r="CI43">
        <f t="shared" si="31"/>
        <v>0</v>
      </c>
      <c r="CJ43">
        <f t="shared" si="31"/>
        <v>0</v>
      </c>
      <c r="CK43">
        <f t="shared" si="31"/>
        <v>0</v>
      </c>
      <c r="CL43">
        <f t="shared" si="31"/>
        <v>0</v>
      </c>
      <c r="CM43">
        <f t="shared" si="31"/>
        <v>0</v>
      </c>
      <c r="CN43">
        <f t="shared" si="31"/>
        <v>0</v>
      </c>
      <c r="CO43">
        <f t="shared" si="31"/>
        <v>0</v>
      </c>
      <c r="CP43">
        <f t="shared" si="31"/>
        <v>0</v>
      </c>
      <c r="CQ43">
        <f t="shared" si="31"/>
        <v>0</v>
      </c>
      <c r="CR43">
        <f t="shared" si="31"/>
        <v>0</v>
      </c>
      <c r="CS43">
        <f t="shared" si="32"/>
        <v>0</v>
      </c>
      <c r="CT43">
        <f t="shared" si="32"/>
        <v>0</v>
      </c>
      <c r="CU43">
        <f t="shared" si="32"/>
        <v>0</v>
      </c>
      <c r="CV43">
        <f t="shared" si="32"/>
        <v>0</v>
      </c>
      <c r="CW43">
        <f t="shared" si="32"/>
        <v>0</v>
      </c>
      <c r="CX43">
        <f t="shared" si="32"/>
        <v>0</v>
      </c>
      <c r="CY43">
        <f t="shared" si="32"/>
        <v>0</v>
      </c>
      <c r="CZ43">
        <f t="shared" si="32"/>
        <v>0</v>
      </c>
      <c r="DA43">
        <f t="shared" si="32"/>
        <v>0</v>
      </c>
      <c r="DB43">
        <f t="shared" si="32"/>
        <v>0</v>
      </c>
      <c r="DC43">
        <f t="shared" si="33"/>
        <v>0</v>
      </c>
      <c r="DD43">
        <f t="shared" si="33"/>
        <v>0</v>
      </c>
      <c r="DE43" t="e">
        <f t="shared" si="33"/>
        <v>#REF!</v>
      </c>
      <c r="DF43" t="e">
        <f t="shared" si="33"/>
        <v>#REF!</v>
      </c>
      <c r="DG43" t="e">
        <f t="shared" si="33"/>
        <v>#REF!</v>
      </c>
      <c r="DH43" t="e">
        <f t="shared" si="33"/>
        <v>#REF!</v>
      </c>
      <c r="DI43" t="e">
        <f t="shared" si="33"/>
        <v>#REF!</v>
      </c>
      <c r="DJ43" t="e">
        <f t="shared" si="33"/>
        <v>#REF!</v>
      </c>
      <c r="DK43" t="e">
        <f t="shared" si="33"/>
        <v>#REF!</v>
      </c>
      <c r="DL43" t="e">
        <f t="shared" si="33"/>
        <v>#REF!</v>
      </c>
      <c r="DM43" t="e">
        <f t="shared" si="34"/>
        <v>#REF!</v>
      </c>
      <c r="DN43" t="e">
        <f t="shared" si="34"/>
        <v>#REF!</v>
      </c>
      <c r="DO43" t="e">
        <f t="shared" si="34"/>
        <v>#REF!</v>
      </c>
      <c r="DP43" t="e">
        <f t="shared" si="34"/>
        <v>#REF!</v>
      </c>
      <c r="DQ43" t="e">
        <f t="shared" si="34"/>
        <v>#REF!</v>
      </c>
      <c r="DR43" t="e">
        <f t="shared" si="34"/>
        <v>#REF!</v>
      </c>
      <c r="DS43" t="e">
        <f t="shared" si="34"/>
        <v>#REF!</v>
      </c>
      <c r="DT43" t="e">
        <f t="shared" si="34"/>
        <v>#REF!</v>
      </c>
      <c r="DU43" t="e">
        <f t="shared" si="34"/>
        <v>#REF!</v>
      </c>
      <c r="DV43" t="e">
        <f t="shared" si="34"/>
        <v>#REF!</v>
      </c>
      <c r="DW43" t="e">
        <f t="shared" si="34"/>
        <v>#REF!</v>
      </c>
      <c r="DX43" t="e">
        <f t="shared" si="34"/>
        <v>#REF!</v>
      </c>
    </row>
    <row r="44" spans="1:128" x14ac:dyDescent="0.3">
      <c r="A44" s="423" t="str">
        <f t="shared" si="16"/>
        <v>42C (SS)</v>
      </c>
      <c r="B44" t="str">
        <f t="shared" si="17"/>
        <v>1_Subdirección de Imprenta Distrital</v>
      </c>
      <c r="C44">
        <f t="shared" si="8"/>
        <v>1</v>
      </c>
      <c r="D44" t="str">
        <f t="shared" si="0"/>
        <v>Subdirección de Imprenta Distrital</v>
      </c>
      <c r="E44" t="str">
        <f t="shared" si="1"/>
        <v>imp</v>
      </c>
      <c r="F44" s="208" t="str">
        <f>'Sub. Técnica'!D21</f>
        <v>42C (SS)</v>
      </c>
      <c r="G44" t="str">
        <f t="shared" si="30"/>
        <v>Suma</v>
      </c>
      <c r="H44" t="str">
        <f t="shared" si="30"/>
        <v>Porcentaje</v>
      </c>
      <c r="I44">
        <f t="shared" si="30"/>
        <v>0.86599999999999999</v>
      </c>
      <c r="J44">
        <f t="shared" si="30"/>
        <v>0.15</v>
      </c>
      <c r="K44" t="str">
        <f>+IFERROR(VLOOKUP($F44,Subtecnica_1,MATCH(K$5,'Sub. Técnica'!$D$9:$V$9,0),0),"")</f>
        <v>Suma</v>
      </c>
      <c r="L44">
        <f>+IFERROR(VLOOKUP($F44,Subtecnica_1,MATCH(L$5,'Sub. Técnica'!$D$9:$V$9,0),0),"")</f>
        <v>0</v>
      </c>
      <c r="M44">
        <f t="shared" si="35"/>
        <v>0</v>
      </c>
      <c r="N44">
        <f>+IFERROR(VLOOKUP($F44,Subtecnica_1,MATCH(N$5,'Sub. Técnica'!$D$9:$V$9,0),0),"")</f>
        <v>0</v>
      </c>
      <c r="O44">
        <f>+IFERROR(VLOOKUP($F44,Subtecnica_1,MATCH(O$5,'Sub. Técnica'!$D$9:$V$9,0),0),"")</f>
        <v>0</v>
      </c>
      <c r="P44">
        <f>+IFERROR(VLOOKUP($F44,Subtecnica_1,MATCH(P$5,'Sub. Técnica'!$D$9:$V$9,0),0),"")</f>
        <v>0</v>
      </c>
      <c r="Q44">
        <f>+IFERROR(VLOOKUP($F44,Subtecnica_1,MATCH(Q$5,'Sub. Técnica'!$D$9:$V$9,0),0),"")</f>
        <v>0</v>
      </c>
      <c r="R44">
        <f>+IFERROR(VLOOKUP($F44,Subtecnica_1,MATCH(R$5,'Sub. Técnica'!$D$9:$V$9,0),0),"")</f>
        <v>0</v>
      </c>
      <c r="S44">
        <f>+IFERROR(VLOOKUP($F44,Subtecnica_1,MATCH(S$5,'Sub. Técnica'!$D$9:$V$9,0),0),"")</f>
        <v>0</v>
      </c>
      <c r="T44">
        <f>+IFERROR(VLOOKUP($F44,Subtecnica_1,MATCH(T$5,'Sub. Técnica'!$D$9:$V$9,0),0),"")</f>
        <v>0</v>
      </c>
      <c r="U44" t="str">
        <f>+IFERROR(VLOOKUP($F44,Subtecnica_1,MATCH(U$5,'Sub. Técnica'!$D$9:$V$9,0),0),"")</f>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
      <c r="V44" t="str">
        <f>+IFERROR(VLOOKUP($F44,Subtecnica_1,MATCH(V$5,'Sub. Técnica'!$D$9:$V$9,0),0),"")</f>
        <v>1. Adquirir y poner en funcionamiento 2 maquinas para la imprenta distrital
2. Modernizar la solución tecnológica para el proceso de registro distrital
3. Desarrollar las obras de reforzamiento estructural y adecuación de la imprenta distrital</v>
      </c>
      <c r="W44" t="str">
        <f>+IFERROR(VLOOKUP($F44,Subtecnica_1,MATCH(W$5,'Sub. Técnica'!$D$9:$V$9,0),0),"")</f>
        <v xml:space="preserve">Modernizar la Imprenta Distrital para mejorar y ampliar los servicios que presta.
Mejorar la experiencia de la ciudadanía con enfoque diferencial y preferencial, en su relación con la administración distrital. </v>
      </c>
      <c r="X44" t="str">
        <f>+IFERROR(VLOOKUP($F44,Subtecnica_1,MATCH(X$5,'Sub. Técnica'!$D$9:$V$9,0),0),"")</f>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
      <c r="Y44" t="str">
        <f>+IFERROR(IF(ISBLANK(VLOOKUP(CONCATENATE($F44,"_",Y$4),Subtecnica_2,MATCH(Y$3,'Sub. Técnica'!$F$26:$O$26,0),0)),"",VLOOKUP(CONCATENATE($F44,"_",Y$4),Subtecnica_2,MATCH(Y$3,'Sub. Técnica'!$F$26:$O$26,0),0)),"")</f>
        <v/>
      </c>
      <c r="Z44" t="str">
        <f>+IFERROR(IF(ISBLANK(VLOOKUP(CONCATENATE($F44,"_",Z$4),Subtecnica_2,MATCH(Z$3,'Sub. Técnica'!$F$26:$O$26,0),0)),"",VLOOKUP(CONCATENATE($F44,"_",Z$4),Subtecnica_2,MATCH(Z$3,'Sub. Técnica'!$F$26:$O$26,0),0)),"")</f>
        <v/>
      </c>
      <c r="AA44" t="str">
        <f>+IFERROR(IF(ISBLANK(VLOOKUP(CONCATENATE($F44,"_",AA$4),Subtecnica_2,MATCH(AA$3,'Sub. Técnica'!$F$26:$O$26,0),0)),"",VLOOKUP(CONCATENATE($F44,"_",AA$4),Subtecnica_2,MATCH(AA$3,'Sub. Técnica'!$F$26:$O$26,0),0)),"")</f>
        <v/>
      </c>
      <c r="AB44" t="str">
        <f>+IFERROR(IF(ISBLANK(VLOOKUP(CONCATENATE($F44,"_",AB$4),Subtecnica_2,MATCH(AB$3,'Sub. Técnica'!$F$26:$O$26,0),0)),"",VLOOKUP(CONCATENATE($F44,"_",AB$4),Subtecnica_2,MATCH(AB$3,'Sub. Técnica'!$F$26:$O$26,0),0)),"")</f>
        <v/>
      </c>
      <c r="AC44" t="str">
        <f>+IFERROR(IF(ISBLANK(VLOOKUP(CONCATENATE($F44,"_",AC$4),Subtecnica_2,MATCH(AC$3,'Sub. Técnica'!$F$26:$O$26,0),0)),"",VLOOKUP(CONCATENATE($F44,"_",AC$4),Subtecnica_2,MATCH(AC$3,'Sub. Técnica'!$F$26:$O$26,0),0)),"")</f>
        <v/>
      </c>
      <c r="AD44" t="str">
        <f>+IFERROR(IF(ISBLANK(VLOOKUP(CONCATENATE($F44,"_",AD$4),Subtecnica_2,MATCH(AD$3,'Sub. Técnica'!$F$26:$O$26,0),0)),"",VLOOKUP(CONCATENATE($F44,"_",AD$4),Subtecnica_2,MATCH(AD$3,'Sub. Técnica'!$F$26:$O$26,0),0)),"")</f>
        <v/>
      </c>
      <c r="AE44" t="str">
        <f>+IFERROR(IF(ISBLANK(VLOOKUP(CONCATENATE($F44,"_",AE$4),Subtecnica_2,MATCH(AE$3,'Sub. Técnica'!$F$26:$O$26,0),0)),"",VLOOKUP(CONCATENATE($F44,"_",AE$4),Subtecnica_2,MATCH(AE$3,'Sub. Técnica'!$F$26:$O$26,0),0)),"")</f>
        <v/>
      </c>
      <c r="AF44" t="str">
        <f>+IFERROR(IF(ISBLANK(VLOOKUP(CONCATENATE($F44,"_",AF$4),Subtecnica_2,MATCH(AF$3,'Sub. Técnica'!$F$26:$O$26,0),0)),"",VLOOKUP(CONCATENATE($F44,"_",AF$4),Subtecnica_2,MATCH(AF$3,'Sub. Técnica'!$F$26:$O$26,0),0)),"")</f>
        <v/>
      </c>
      <c r="AG44" t="str">
        <f>+IFERROR(IF(ISBLANK(VLOOKUP(CONCATENATE($F44,"_",AG$4),Subtecnica_2,MATCH(AG$3,'Sub. Técnica'!$F$26:$O$26,0),0)),"",VLOOKUP(CONCATENATE($F44,"_",AG$4),Subtecnica_2,MATCH(AG$3,'Sub. Técnica'!$F$26:$O$26,0),0)),"")</f>
        <v/>
      </c>
      <c r="AH44" t="str">
        <f>+IFERROR(IF(ISBLANK(VLOOKUP(CONCATENATE($F44,"_",AH$4),Subtecnica_2,MATCH(AH$3,'Sub. Técnica'!$F$26:$O$26,0),0)),"",VLOOKUP(CONCATENATE($F44,"_",AH$4),Subtecnica_2,MATCH(AH$3,'Sub. Técnica'!$F$26:$O$26,0),0)),"")</f>
        <v/>
      </c>
      <c r="AI44" t="str">
        <f>+IFERROR(IF(ISBLANK(VLOOKUP(CONCATENATE($F44,"_",AI$4),Subtecnica_2,MATCH(AI$3,'Sub. Técnica'!$F$26:$O$26,0),0)),"",VLOOKUP(CONCATENATE($F44,"_",AI$4),Subtecnica_2,MATCH(AI$3,'Sub. Técnica'!$F$26:$O$26,0),0)),"")</f>
        <v/>
      </c>
      <c r="AJ44" t="str">
        <f>+IFERROR(IF(ISBLANK(VLOOKUP(CONCATENATE($F44,"_",AJ$4),Subtecnica_2,MATCH(AJ$3,'Sub. Técnica'!$F$26:$O$26,0),0)),"",VLOOKUP(CONCATENATE($F44,"_",AJ$4),Subtecnica_2,MATCH(AJ$3,'Sub. Técnica'!$F$26:$O$26,0),0)),"")</f>
        <v/>
      </c>
      <c r="AK44" t="str">
        <f>+IFERROR(IF(ISBLANK(VLOOKUP(CONCATENATE($F44,"_",AK$4),Subtecnica_2,MATCH(AK$3,'Sub. Técnica'!$F$26:$O$26,0),0)),"",VLOOKUP(CONCATENATE($F44,"_",AK$4),Subtecnica_2,MATCH(AK$3,'Sub. Técnica'!$F$26:$O$26,0),0)),"")</f>
        <v/>
      </c>
      <c r="AL44" t="str">
        <f>+IFERROR(IF(ISBLANK(VLOOKUP(CONCATENATE($F44,"_",AL$4),Subtecnica_2,MATCH(AL$3,'Sub. Técnica'!$F$26:$O$26,0),0)),"",VLOOKUP(CONCATENATE($F44,"_",AL$4),Subtecnica_2,MATCH(AL$3,'Sub. Técnica'!$F$26:$O$26,0),0)),"")</f>
        <v/>
      </c>
      <c r="AM44" t="str">
        <f>+IFERROR(IF(ISBLANK(VLOOKUP(CONCATENATE($F44,"_",AM$4),Subtecnica_2,MATCH(AM$3,'Sub. Técnica'!$F$26:$O$26,0),0)),"",VLOOKUP(CONCATENATE($F44,"_",AM$4),Subtecnica_2,MATCH(AM$3,'Sub. Técnica'!$F$26:$O$26,0),0)),"")</f>
        <v/>
      </c>
      <c r="AN44" t="str">
        <f>+IFERROR(IF(ISBLANK(VLOOKUP(CONCATENATE($F44,"_",AN$4),Subtecnica_2,MATCH(AN$3,'Sub. Técnica'!$F$26:$O$26,0),0)),"",VLOOKUP(CONCATENATE($F44,"_",AN$4),Subtecnica_2,MATCH(AN$3,'Sub. Técnica'!$F$26:$O$26,0),0)),"")</f>
        <v/>
      </c>
      <c r="AO44" t="str">
        <f>+IFERROR(IF(ISBLANK(VLOOKUP(CONCATENATE($F44,"_",AO$4),Subtecnica_2,MATCH(AO$3,'Sub. Técnica'!$F$26:$O$26,0),0)),"",VLOOKUP(CONCATENATE($F44,"_",AO$4),Subtecnica_2,MATCH(AO$3,'Sub. Técnica'!$F$26:$O$26,0),0)),"")</f>
        <v/>
      </c>
      <c r="AP44" t="str">
        <f>+IFERROR(IF(ISBLANK(VLOOKUP(CONCATENATE($F44,"_",AP$4),Subtecnica_2,MATCH(AP$3,'Sub. Técnica'!$F$26:$O$26,0),0)),"",VLOOKUP(CONCATENATE($F44,"_",AP$4),Subtecnica_2,MATCH(AP$3,'Sub. Técnica'!$F$26:$O$26,0),0)),"")</f>
        <v/>
      </c>
      <c r="AQ44" t="str">
        <f>+IFERROR(IF(ISBLANK(VLOOKUP(CONCATENATE($F44,"_",AQ$4),Subtecnica_2,MATCH(AQ$3,'Sub. Técnica'!$F$26:$O$26,0),0)),"",VLOOKUP(CONCATENATE($F44,"_",AQ$4),Subtecnica_2,MATCH(AQ$3,'Sub. Técnica'!$F$26:$O$26,0),0)),"")</f>
        <v/>
      </c>
      <c r="AR44" t="str">
        <f>+IFERROR(IF(ISBLANK(VLOOKUP(CONCATENATE($F44,"_",AR$4),Subtecnica_2,MATCH(AR$3,'Sub. Técnica'!$F$26:$O$26,0),0)),"",VLOOKUP(CONCATENATE($F44,"_",AR$4),Subtecnica_2,MATCH(AR$3,'Sub. Técnica'!$F$26:$O$26,0),0)),"")</f>
        <v/>
      </c>
      <c r="AS44" t="str">
        <f>+IFERROR(IF(ISBLANK(VLOOKUP(CONCATENATE($F44,"_",AS$4),Subtecnica_2,MATCH(AS$3,'Sub. Técnica'!$F$26:$O$26,0),0)),"",VLOOKUP(CONCATENATE($F44,"_",AS$4),Subtecnica_2,MATCH(AS$3,'Sub. Técnica'!$F$26:$O$26,0),0)),"")</f>
        <v/>
      </c>
      <c r="AT44" t="str">
        <f>+IFERROR(IF(ISBLANK(VLOOKUP(CONCATENATE($F44,"_",AT$4),Subtecnica_2,MATCH(AT$3,'Sub. Técnica'!$F$26:$O$26,0),0)),"",VLOOKUP(CONCATENATE($F44,"_",AT$4),Subtecnica_2,MATCH(AT$3,'Sub. Técnica'!$F$26:$O$26,0),0)),"")</f>
        <v/>
      </c>
      <c r="AU44" t="str">
        <f>+IFERROR(IF(ISBLANK(VLOOKUP(CONCATENATE($F44,"_",AU$4),Subtecnica_2,MATCH(AU$3,'Sub. Técnica'!$F$26:$O$26,0),0)),"",VLOOKUP(CONCATENATE($F44,"_",AU$4),Subtecnica_2,MATCH(AU$3,'Sub. Técnica'!$F$26:$O$26,0),0)),"")</f>
        <v/>
      </c>
      <c r="AV44" t="str">
        <f>+IFERROR(IF(ISBLANK(VLOOKUP(CONCATENATE($F44,"_",AV$4),Subtecnica_2,MATCH(AV$3,'Sub. Técnica'!$F$26:$O$26,0),0)),"",VLOOKUP(CONCATENATE($F44,"_",AV$4),Subtecnica_2,MATCH(AV$3,'Sub. Técnica'!$F$26:$O$26,0),0)),"")</f>
        <v/>
      </c>
      <c r="AW44" t="str">
        <f>+IFERROR(IF(ISBLANK(VLOOKUP(CONCATENATE($F44,"_",AW$4),Subtecnica_2,MATCH(AW$3,'Sub. Técnica'!$F$26:$O$26,0),0)),"",VLOOKUP(CONCATENATE($F44,"_",AW$4),Subtecnica_2,MATCH(AW$3,'Sub. Técnica'!$F$26:$O$26,0),0)),"")</f>
        <v/>
      </c>
      <c r="AX44" t="str">
        <f>+IFERROR(IF(ISBLANK(VLOOKUP(CONCATENATE($F44,"_",AX$4),Subtecnica_2,MATCH(AX$3,'Sub. Técnica'!$F$26:$O$26,0),0)),"",VLOOKUP(CONCATENATE($F44,"_",AX$4),Subtecnica_2,MATCH(AX$3,'Sub. Técnica'!$F$26:$O$26,0),0)),"")</f>
        <v/>
      </c>
      <c r="AY44" t="str">
        <f>+IFERROR(IF(ISBLANK(VLOOKUP(CONCATENATE($F44,"_",AY$4),Subtecnica_2,MATCH(AY$3,'Sub. Técnica'!$F$26:$O$26,0),0)),"",VLOOKUP(CONCATENATE($F44,"_",AY$4),Subtecnica_2,MATCH(AY$3,'Sub. Técnica'!$F$26:$O$26,0),0)),"")</f>
        <v/>
      </c>
      <c r="AZ44" t="str">
        <f>+IFERROR(IF(ISBLANK(VLOOKUP(CONCATENATE($F44,"_",AZ$4),Subtecnica_2,MATCH(AZ$3,'Sub. Técnica'!$F$26:$O$26,0),0)),"",VLOOKUP(CONCATENATE($F44,"_",AZ$4),Subtecnica_2,MATCH(AZ$3,'Sub. Técnica'!$F$26:$O$26,0),0)),"")</f>
        <v/>
      </c>
      <c r="BA44" t="str">
        <f>+IFERROR(IF(ISBLANK(VLOOKUP(CONCATENATE($F44,"_",BA$4),Subtecnica_2,MATCH(BA$3,'Sub. Técnica'!$F$26:$O$26,0),0)),"",VLOOKUP(CONCATENATE($F44,"_",BA$4),Subtecnica_2,MATCH(BA$3,'Sub. Técnica'!$F$26:$O$26,0),0)),"")</f>
        <v/>
      </c>
      <c r="BB44" t="str">
        <f>+IFERROR(IF(ISBLANK(VLOOKUP(CONCATENATE($F44,"_",BB$4),Subtecnica_2,MATCH(BB$3,'Sub. Técnica'!$F$26:$O$26,0),0)),"",VLOOKUP(CONCATENATE($F44,"_",BB$4),Subtecnica_2,MATCH(BB$3,'Sub. Técnica'!$F$26:$O$26,0),0)),"")</f>
        <v/>
      </c>
      <c r="BC44">
        <f t="shared" si="10"/>
        <v>0</v>
      </c>
      <c r="BD44">
        <f t="shared" si="10"/>
        <v>0</v>
      </c>
      <c r="BE44" s="129" t="str">
        <f>+IFERROR(IF(ISBLANK(VLOOKUP(CONCATENATE($F44,"_",BE$4),P1156_4,MATCH(BE$3,PAAC!$E$19:$M$19,0),0)),"",VLOOKUP(CONCATENATE($F44,"_",BE$4),P1156_4,MATCH(BE$3,PAAC!$E$19:$M$19,0),0)),"")</f>
        <v/>
      </c>
      <c r="BF44" s="129" t="str">
        <f>+IFERROR(IF(ISBLANK(VLOOKUP(CONCATENATE($F44,"_",BF$4),P1156_4,MATCH(BF$3,PAAC!$E$19:$M$19,0),0)),"",VLOOKUP(CONCATENATE($F44,"_",BF$4),P1156_4,MATCH(BF$3,PAAC!$E$19:$M$19,0),0)),"")</f>
        <v/>
      </c>
      <c r="BG44" s="129" t="str">
        <f>+IFERROR(IF(ISBLANK(VLOOKUP(CONCATENATE($F44,"_",BG$4),P1156_4,MATCH(BG$3,PAAC!$E$19:$M$19,0),0)),"",VLOOKUP(CONCATENATE($F44,"_",BG$4),P1156_4,MATCH(BG$3,PAAC!$E$19:$M$19,0),0)),"")</f>
        <v/>
      </c>
      <c r="BH44" s="129" t="str">
        <f>+IFERROR(IF(ISBLANK(VLOOKUP(CONCATENATE($F44,"_",BH$4),P1156_4,MATCH(BH$3,PAAC!$E$19:$M$19,0),0)),"",VLOOKUP(CONCATENATE($F44,"_",BH$4),P1156_4,MATCH(BH$3,PAAC!$E$19:$M$19,0),0)),"")</f>
        <v/>
      </c>
      <c r="BI44" s="129" t="str">
        <f>+IFERROR(IF(ISBLANK(VLOOKUP(CONCATENATE($F44,"_",BI$4),P1156_4,MATCH(BI$3,PAAC!$E$19:$M$19,0),0)),"",VLOOKUP(CONCATENATE($F44,"_",BI$4),P1156_4,MATCH(BI$3,PAAC!$E$19:$M$19,0),0)),"")</f>
        <v/>
      </c>
      <c r="BJ44" s="129" t="str">
        <f>+IFERROR(IF(ISBLANK(VLOOKUP(CONCATENATE($F44,"_",BJ$4),P1156_4,MATCH(BJ$3,PAAC!$E$19:$M$19,0),0)),"",VLOOKUP(CONCATENATE($F44,"_",BJ$4),P1156_4,MATCH(BJ$3,PAAC!$E$19:$M$19,0),0)),"")</f>
        <v/>
      </c>
      <c r="BK44" s="129" t="str">
        <f>+IFERROR(IF(ISBLANK(VLOOKUP(CONCATENATE($F44,"_",BK$4),P1156_4,MATCH(BK$3,PAAC!$E$19:$M$19,0),0)),"",VLOOKUP(CONCATENATE($F44,"_",BK$4),P1156_4,MATCH(BK$3,PAAC!$E$19:$M$19,0),0)),"")</f>
        <v/>
      </c>
      <c r="BL44" s="129" t="str">
        <f>+IFERROR(IF(ISBLANK(VLOOKUP(CONCATENATE($F44,"_",BL$4),P1156_4,MATCH(BL$3,PAAC!$E$19:$M$19,0),0)),"",VLOOKUP(CONCATENATE($F44,"_",BL$4),P1156_4,MATCH(BL$3,PAAC!$E$19:$M$19,0),0)),"")</f>
        <v/>
      </c>
      <c r="BM44" s="129" t="str">
        <f>+IFERROR(IF(ISBLANK(VLOOKUP(CONCATENATE($F44,"_",BM$4),P1156_4,MATCH(BM$3,PAAC!$E$19:$M$19,0),0)),"",VLOOKUP(CONCATENATE($F44,"_",BM$4),P1156_4,MATCH(BM$3,PAAC!$E$19:$M$19,0),0)),"")</f>
        <v/>
      </c>
      <c r="BN44" s="129" t="str">
        <f>+IFERROR(IF(ISBLANK(VLOOKUP(CONCATENATE($F44,"_",BN$4),P1156_4,MATCH(BN$3,PAAC!$E$19:$M$19,0),0)),"",VLOOKUP(CONCATENATE($F44,"_",BN$4),P1156_4,MATCH(BN$3,PAAC!$E$19:$M$19,0),0)),"")</f>
        <v/>
      </c>
      <c r="BO44" s="129" t="str">
        <f>+IFERROR(IF(ISBLANK(VLOOKUP(CONCATENATE($F44,"_",BO$4),P1156_4,MATCH(BO$3,PAAC!$E$19:$M$19,0),0)),"",VLOOKUP(CONCATENATE($F44,"_",BO$4),P1156_4,MATCH(BO$3,PAAC!$E$19:$M$19,0),0)),"")</f>
        <v/>
      </c>
      <c r="BP44" s="129" t="str">
        <f>+IFERROR(IF(ISBLANK(VLOOKUP(CONCATENATE($F44,"_",BP$4),P1156_4,MATCH(BP$3,PAAC!$E$19:$M$19,0),0)),"",VLOOKUP(CONCATENATE($F44,"_",BP$4),P1156_4,MATCH(BP$3,PAAC!$E$19:$M$19,0),0)),"")</f>
        <v/>
      </c>
      <c r="BQ44" s="129" t="str">
        <f>+IFERROR(IF(ISBLANK(VLOOKUP(CONCATENATE($F44,"_",BQ$4),P1156_4,MATCH(BQ$3,PAAC!$E$19:$M$19,0),0)),"",VLOOKUP(CONCATENATE($F44,"_",BQ$4),P1156_4,MATCH(BQ$3,PAAC!$E$19:$M$19,0),0)),"")</f>
        <v/>
      </c>
      <c r="BR44" s="129" t="str">
        <f>+IFERROR(IF(ISBLANK(VLOOKUP(CONCATENATE($F44,"_",BR$4),P1156_4,MATCH(BR$3,PAAC!$E$19:$M$19,0),0)),"",VLOOKUP(CONCATENATE($F44,"_",BR$4),P1156_4,MATCH(BR$3,PAAC!$E$19:$M$19,0),0)),"")</f>
        <v/>
      </c>
      <c r="BS44" s="129" t="str">
        <f>+IFERROR(IF(ISBLANK(VLOOKUP(CONCATENATE($F44,"_",BS$4),P1156_4,MATCH(BS$3,PAAC!$E$19:$M$19,0),0)),"",VLOOKUP(CONCATENATE($F44,"_",BS$4),P1156_4,MATCH(BS$3,PAAC!$E$19:$M$19,0),0)),"")</f>
        <v/>
      </c>
      <c r="BT44" s="129" t="str">
        <f>+IFERROR(IF(ISBLANK(VLOOKUP(CONCATENATE($F44,"_",BT$4),P1156_4,MATCH(BT$3,PAAC!$E$19:$M$19,0),0)),"",VLOOKUP(CONCATENATE($F44,"_",BT$4),P1156_4,MATCH(BT$3,PAAC!$E$19:$M$19,0),0)),"")</f>
        <v/>
      </c>
      <c r="BU44" s="129" t="str">
        <f>+IFERROR(IF(ISBLANK(VLOOKUP(CONCATENATE($F44,"_",BU$4),P1156_4,MATCH(BU$3,PAAC!$E$19:$M$19,0),0)),"",VLOOKUP(CONCATENATE($F44,"_",BU$4),P1156_4,MATCH(BU$3,PAAC!$E$19:$M$19,0),0)),"")</f>
        <v/>
      </c>
      <c r="BV44" s="129" t="str">
        <f>+IFERROR(IF(ISBLANK(VLOOKUP(CONCATENATE($F44,"_",BV$4),P1156_4,MATCH(BV$3,PAAC!$E$19:$M$19,0),0)),"",VLOOKUP(CONCATENATE($F44,"_",BV$4),P1156_4,MATCH(BV$3,PAAC!$E$19:$M$19,0),0)),"")</f>
        <v/>
      </c>
      <c r="BW44" s="129" t="str">
        <f>+IFERROR(IF(ISBLANK(VLOOKUP(CONCATENATE($F44,"_",BW$4),P1156_4,MATCH(BW$3,PAAC!$E$19:$M$19,0),0)),"",VLOOKUP(CONCATENATE($F44,"_",BW$4),P1156_4,MATCH(BW$3,PAAC!$E$19:$M$19,0),0)),"")</f>
        <v/>
      </c>
      <c r="BX44" s="129" t="str">
        <f>+IFERROR(IF(ISBLANK(VLOOKUP(CONCATENATE($F44,"_",BX$4),P1156_4,MATCH(BX$3,PAAC!$E$19:$M$19,0),0)),"",VLOOKUP(CONCATENATE($F44,"_",BX$4),P1156_4,MATCH(BX$3,PAAC!$E$19:$M$19,0),0)),"")</f>
        <v/>
      </c>
      <c r="BY44" s="129" t="str">
        <f>+IFERROR(IF(ISBLANK(VLOOKUP(CONCATENATE($F44,"_",BY$4),P1156_4,MATCH(BY$3,PAAC!$E$19:$M$19,0),0)),"",VLOOKUP(CONCATENATE($F44,"_",BY$4),P1156_4,MATCH(BY$3,PAAC!$E$19:$M$19,0),0)),"")</f>
        <v/>
      </c>
      <c r="BZ44" s="129" t="str">
        <f>+IFERROR(IF(ISBLANK(VLOOKUP(CONCATENATE($F44,"_",BZ$4),P1156_4,MATCH(BZ$3,PAAC!$E$19:$M$19,0),0)),"",VLOOKUP(CONCATENATE($F44,"_",BZ$4),P1156_4,MATCH(BZ$3,PAAC!$E$19:$M$19,0),0)),"")</f>
        <v/>
      </c>
      <c r="CA44" s="129" t="str">
        <f>+IFERROR(IF(ISBLANK(VLOOKUP(CONCATENATE($F44,"_",CA$4),P1156_4,MATCH(CA$3,PAAC!$E$19:$M$19,0),0)),"",VLOOKUP(CONCATENATE($F44,"_",CA$4),P1156_4,MATCH(CA$3,PAAC!$E$19:$M$19,0),0)),"")</f>
        <v/>
      </c>
      <c r="CB44" s="129" t="str">
        <f>+IFERROR(IF(ISBLANK(VLOOKUP(CONCATENATE($F44,"_",CB$4),P1156_4,MATCH(CB$3,PAAC!$E$19:$M$19,0),0)),"",VLOOKUP(CONCATENATE($F44,"_",CB$4),P1156_4,MATCH(CB$3,PAAC!$E$19:$M$19,0),0)),"")</f>
        <v/>
      </c>
      <c r="CC44" s="129" t="str">
        <f>+IFERROR(IF(ISBLANK(VLOOKUP(CONCATENATE($F44,"_",CC$4),P1156_4,MATCH(CC$3,PAAC!$E$19:$M$19,0),0)),"",VLOOKUP(CONCATENATE($F44,"_",CC$4),P1156_4,MATCH(CC$3,PAAC!$E$19:$M$19,0),0)),"")</f>
        <v/>
      </c>
      <c r="CD44" s="129" t="str">
        <f t="shared" si="11"/>
        <v/>
      </c>
      <c r="CE44" s="129" t="str">
        <f t="shared" si="3"/>
        <v/>
      </c>
      <c r="CF44" s="129" t="str">
        <f t="shared" si="4"/>
        <v/>
      </c>
      <c r="CG44" s="129" t="str">
        <f t="shared" si="5"/>
        <v/>
      </c>
      <c r="CH44" s="129" t="str">
        <f t="shared" si="6"/>
        <v/>
      </c>
      <c r="CI44">
        <f t="shared" si="31"/>
        <v>0</v>
      </c>
      <c r="CJ44">
        <f t="shared" si="31"/>
        <v>0</v>
      </c>
      <c r="CK44">
        <f t="shared" si="31"/>
        <v>0</v>
      </c>
      <c r="CL44">
        <f t="shared" si="31"/>
        <v>0</v>
      </c>
      <c r="CM44">
        <f t="shared" si="31"/>
        <v>0</v>
      </c>
      <c r="CN44">
        <f t="shared" si="31"/>
        <v>0</v>
      </c>
      <c r="CO44">
        <f t="shared" si="31"/>
        <v>0</v>
      </c>
      <c r="CP44">
        <f t="shared" si="31"/>
        <v>0</v>
      </c>
      <c r="CQ44">
        <f t="shared" si="31"/>
        <v>0</v>
      </c>
      <c r="CR44">
        <f t="shared" si="31"/>
        <v>0</v>
      </c>
      <c r="CS44">
        <f t="shared" si="32"/>
        <v>0</v>
      </c>
      <c r="CT44">
        <f t="shared" si="32"/>
        <v>0</v>
      </c>
      <c r="CU44">
        <f t="shared" si="32"/>
        <v>0</v>
      </c>
      <c r="CV44">
        <f t="shared" si="32"/>
        <v>0</v>
      </c>
      <c r="CW44">
        <f t="shared" si="32"/>
        <v>0</v>
      </c>
      <c r="CX44">
        <f t="shared" si="32"/>
        <v>0</v>
      </c>
      <c r="CY44">
        <f t="shared" si="32"/>
        <v>0</v>
      </c>
      <c r="CZ44">
        <f t="shared" si="32"/>
        <v>0</v>
      </c>
      <c r="DA44">
        <f t="shared" si="32"/>
        <v>0</v>
      </c>
      <c r="DB44">
        <f t="shared" si="32"/>
        <v>0</v>
      </c>
      <c r="DC44">
        <f t="shared" si="33"/>
        <v>0</v>
      </c>
      <c r="DD44">
        <f t="shared" si="33"/>
        <v>0</v>
      </c>
      <c r="DE44" t="e">
        <f t="shared" si="33"/>
        <v>#REF!</v>
      </c>
      <c r="DF44" t="e">
        <f t="shared" si="33"/>
        <v>#REF!</v>
      </c>
      <c r="DG44" t="e">
        <f t="shared" si="33"/>
        <v>#REF!</v>
      </c>
      <c r="DH44" t="e">
        <f t="shared" si="33"/>
        <v>#REF!</v>
      </c>
      <c r="DI44" t="e">
        <f t="shared" si="33"/>
        <v>#REF!</v>
      </c>
      <c r="DJ44" t="e">
        <f t="shared" si="33"/>
        <v>#REF!</v>
      </c>
      <c r="DK44" t="e">
        <f t="shared" si="33"/>
        <v>#REF!</v>
      </c>
      <c r="DL44" t="e">
        <f t="shared" si="33"/>
        <v>#REF!</v>
      </c>
      <c r="DM44" t="e">
        <f t="shared" si="34"/>
        <v>#REF!</v>
      </c>
      <c r="DN44" t="e">
        <f t="shared" si="34"/>
        <v>#REF!</v>
      </c>
      <c r="DO44" t="e">
        <f t="shared" si="34"/>
        <v>#REF!</v>
      </c>
      <c r="DP44" t="e">
        <f t="shared" si="34"/>
        <v>#REF!</v>
      </c>
      <c r="DQ44" t="e">
        <f t="shared" si="34"/>
        <v>#REF!</v>
      </c>
      <c r="DR44" t="e">
        <f t="shared" si="34"/>
        <v>#REF!</v>
      </c>
      <c r="DS44" t="e">
        <f t="shared" si="34"/>
        <v>#REF!</v>
      </c>
      <c r="DT44" t="e">
        <f t="shared" si="34"/>
        <v>#REF!</v>
      </c>
      <c r="DU44" t="e">
        <f t="shared" si="34"/>
        <v>#REF!</v>
      </c>
      <c r="DV44" t="e">
        <f t="shared" si="34"/>
        <v>#REF!</v>
      </c>
      <c r="DW44" t="e">
        <f t="shared" si="34"/>
        <v>#REF!</v>
      </c>
      <c r="DX44" t="e">
        <f t="shared" si="34"/>
        <v>#REF!</v>
      </c>
    </row>
    <row r="45" spans="1:128" x14ac:dyDescent="0.3">
      <c r="A45" s="423" t="str">
        <f>+F45</f>
        <v>10I</v>
      </c>
      <c r="B45" t="str">
        <f>+C45&amp;"_"&amp;D45</f>
        <v>1_Subsecretaría Técnica</v>
      </c>
      <c r="C45">
        <f t="shared" si="8"/>
        <v>1</v>
      </c>
      <c r="D45" t="str">
        <f t="shared" si="0"/>
        <v>Subsecretaría Técnica</v>
      </c>
      <c r="E45" t="str">
        <f t="shared" si="1"/>
        <v>tec</v>
      </c>
      <c r="F45" s="208" t="str">
        <f>'Sub. Técnica'!D22</f>
        <v>10I</v>
      </c>
      <c r="G45" t="str">
        <f t="shared" si="30"/>
        <v>Suma</v>
      </c>
      <c r="H45" t="str">
        <f t="shared" si="30"/>
        <v>Número</v>
      </c>
      <c r="I45">
        <f t="shared" si="30"/>
        <v>4</v>
      </c>
      <c r="J45">
        <f t="shared" si="30"/>
        <v>4</v>
      </c>
      <c r="K45" t="str">
        <f>+IFERROR(VLOOKUP($F45,Subtecnica_1,MATCH(K$5,'Sub. Técnica'!$D$9:$V$9,0),0),"")</f>
        <v>Suma</v>
      </c>
      <c r="L45">
        <f>+IFERROR(VLOOKUP($F45,Subtecnica_1,MATCH(L$5,'Sub. Técnica'!$D$9:$V$9,0),0),"")</f>
        <v>2</v>
      </c>
      <c r="M45">
        <f t="shared" si="35"/>
        <v>1</v>
      </c>
      <c r="N45">
        <f>+IFERROR(VLOOKUP($F45,Subtecnica_1,MATCH(N$5,'Sub. Técnica'!$D$9:$V$9,0),0),"")</f>
        <v>0</v>
      </c>
      <c r="O45">
        <f>+IFERROR(VLOOKUP($F45,Subtecnica_1,MATCH(O$5,'Sub. Técnica'!$D$9:$V$9,0),0),"")</f>
        <v>0</v>
      </c>
      <c r="P45">
        <f>+IFERROR(VLOOKUP($F45,Subtecnica_1,MATCH(P$5,'Sub. Técnica'!$D$9:$V$9,0),0),"")</f>
        <v>1</v>
      </c>
      <c r="Q45">
        <f>+IFERROR(VLOOKUP($F45,Subtecnica_1,MATCH(Q$5,'Sub. Técnica'!$D$9:$V$9,0),0),"")</f>
        <v>0</v>
      </c>
      <c r="R45">
        <f>+IFERROR(VLOOKUP($F45,Subtecnica_1,MATCH(R$5,'Sub. Técnica'!$D$9:$V$9,0),0),"")</f>
        <v>0</v>
      </c>
      <c r="S45">
        <f>+IFERROR(VLOOKUP($F45,Subtecnica_1,MATCH(S$5,'Sub. Técnica'!$D$9:$V$9,0),0),"")</f>
        <v>1</v>
      </c>
      <c r="T45">
        <f>+IFERROR(VLOOKUP($F45,Subtecnica_1,MATCH(T$5,'Sub. Técnica'!$D$9:$V$9,0),0),"")</f>
        <v>2</v>
      </c>
      <c r="U45" t="str">
        <f>+IFERROR(VLOOKUP($F45,Subtecnica_1,MATCH(U$5,'Sub. Técnica'!$D$9:$V$9,0),0),"")</f>
        <v>El informe da cuenta de las acciones estrategicas lideradas  por la Subsecretaría Técnica con sus dependencias para el cumplimiento de los objetivos misionales en el desarrollo, la eficiencia y la innovación institucional,así como el relacionamiento internacional, la gestión documental,  la articulación interinstitucional a nivel Distrital y el liderazgo en los asuntos laborales en el marco de la negociación sindical.</v>
      </c>
      <c r="V45" t="str">
        <f>+IFERROR(VLOOKUP($F45,Subtecnica_1,MATCH(V$5,'Sub. Técnica'!$D$9:$V$9,0),0),"")</f>
        <v>*Líneamientos, estrategias y productos.
* Asistencia a instancias.
* Hitos de la dependencia y sus áreas
* Desarrollo de informes, actas o registros.
* Relacionamiento internacional</v>
      </c>
      <c r="W45" t="str">
        <f>+IFERROR(VLOOKUP($F45,Subtecnica_1,MATCH(W$5,'Sub. Técnica'!$D$9:$V$9,0),0),"")</f>
        <v>Consolidar y documentar la gestión y lineamientos estrategicos impartidos por la Subsecretaria Técnica hacia las dependencias , así como reflejar su participación en otras instancias o escenarios que por las funciones del cargo o por delegación de la Secretaria General ha realizado la dependencia.</v>
      </c>
      <c r="X45" t="str">
        <f>+IFERROR(VLOOKUP($F45,Subtecnica_1,MATCH(X$5,'Sub. Técnica'!$D$9:$V$9,0),0),"")</f>
        <v>Actas.
Actos administrativos
Reporte presupuestal.
Listados de Asistencia.
Presentaciones.
Memorandos.
Informe Técnico.</v>
      </c>
      <c r="Y45" t="str">
        <f>+IFERROR(IF(ISBLANK(VLOOKUP(CONCATENATE($F45,"_",Y$4),Subtecnica_2,MATCH(Y$3,'Sub. Técnica'!$F$26:$O$26,0),0)),"",VLOOKUP(CONCATENATE($F45,"_",Y$4),Subtecnica_2,MATCH(Y$3,'Sub. Técnica'!$F$26:$O$26,0),0)),"")</f>
        <v/>
      </c>
      <c r="Z45" t="str">
        <f>+IFERROR(IF(ISBLANK(VLOOKUP(CONCATENATE($F45,"_",Z$4),Subtecnica_2,MATCH(Z$3,'Sub. Técnica'!$F$26:$O$26,0),0)),"",VLOOKUP(CONCATENATE($F45,"_",Z$4),Subtecnica_2,MATCH(Z$3,'Sub. Técnica'!$F$26:$O$26,0),0)),"")</f>
        <v/>
      </c>
      <c r="AA45" t="str">
        <f>+IFERROR(IF(ISBLANK(VLOOKUP(CONCATENATE($F45,"_",AA$4),Subtecnica_2,MATCH(AA$3,'Sub. Técnica'!$F$26:$O$26,0),0)),"",VLOOKUP(CONCATENATE($F45,"_",AA$4),Subtecnica_2,MATCH(AA$3,'Sub. Técnica'!$F$26:$O$26,0),0)),"")</f>
        <v>N/A</v>
      </c>
      <c r="AB45" t="str">
        <f>+IFERROR(IF(ISBLANK(VLOOKUP(CONCATENATE($F45,"_",AB$4),Subtecnica_2,MATCH(AB$3,'Sub. Técnica'!$F$26:$O$26,0),0)),"",VLOOKUP(CONCATENATE($F45,"_",AB$4),Subtecnica_2,MATCH(AB$3,'Sub. Técnica'!$F$26:$O$26,0),0)),"")</f>
        <v>N/A</v>
      </c>
      <c r="AC45" t="str">
        <f>+IFERROR(IF(ISBLANK(VLOOKUP(CONCATENATE($F45,"_",AC$4),Subtecnica_2,MATCH(AC$3,'Sub. Técnica'!$F$26:$O$26,0),0)),"",VLOOKUP(CONCATENATE($F45,"_",AC$4),Subtecnica_2,MATCH(AC$3,'Sub. Técnica'!$F$26:$O$26,0),0)),"")</f>
        <v>N/A</v>
      </c>
      <c r="AD45" t="str">
        <f>+IFERROR(IF(ISBLANK(VLOOKUP(CONCATENATE($F45,"_",AD$4),Subtecnica_2,MATCH(AD$3,'Sub. Técnica'!$F$26:$O$26,0),0)),"",VLOOKUP(CONCATENATE($F45,"_",AD$4),Subtecnica_2,MATCH(AD$3,'Sub. Técnica'!$F$26:$O$26,0),0)),"")</f>
        <v/>
      </c>
      <c r="AE45" t="str">
        <f>+IFERROR(IF(ISBLANK(VLOOKUP(CONCATENATE($F45,"_",AE$4),Subtecnica_2,MATCH(AE$3,'Sub. Técnica'!$F$26:$O$26,0),0)),"",VLOOKUP(CONCATENATE($F45,"_",AE$4),Subtecnica_2,MATCH(AE$3,'Sub. Técnica'!$F$26:$O$26,0),0)),"")</f>
        <v/>
      </c>
      <c r="AF45" t="str">
        <f>+IFERROR(IF(ISBLANK(VLOOKUP(CONCATENATE($F45,"_",AF$4),Subtecnica_2,MATCH(AF$3,'Sub. Técnica'!$F$26:$O$26,0),0)),"",VLOOKUP(CONCATENATE($F45,"_",AF$4),Subtecnica_2,MATCH(AF$3,'Sub. Técnica'!$F$26:$O$26,0),0)),"")</f>
        <v>N/A</v>
      </c>
      <c r="AG45" t="str">
        <f>+IFERROR(IF(ISBLANK(VLOOKUP(CONCATENATE($F45,"_",AG$4),Subtecnica_2,MATCH(AG$3,'Sub. Técnica'!$F$26:$O$26,0),0)),"",VLOOKUP(CONCATENATE($F45,"_",AG$4),Subtecnica_2,MATCH(AG$3,'Sub. Técnica'!$F$26:$O$26,0),0)),"")</f>
        <v>N/A</v>
      </c>
      <c r="AH45" t="str">
        <f>+IFERROR(IF(ISBLANK(VLOOKUP(CONCATENATE($F45,"_",AH$4),Subtecnica_2,MATCH(AH$3,'Sub. Técnica'!$F$26:$O$26,0),0)),"",VLOOKUP(CONCATENATE($F45,"_",AH$4),Subtecnica_2,MATCH(AH$3,'Sub. Técnica'!$F$26:$O$26,0),0)),"")</f>
        <v>N/A</v>
      </c>
      <c r="AI45">
        <f>+IFERROR(IF(ISBLANK(VLOOKUP(CONCATENATE($F45,"_",AI$4),Subtecnica_2,MATCH(AI$3,'Sub. Técnica'!$F$26:$O$26,0),0)),"",VLOOKUP(CONCATENATE($F45,"_",AI$4),Subtecnica_2,MATCH(AI$3,'Sub. Técnica'!$F$26:$O$26,0),0)),"")</f>
        <v>1</v>
      </c>
      <c r="AJ45">
        <f>+IFERROR(IF(ISBLANK(VLOOKUP(CONCATENATE($F45,"_",AJ$4),Subtecnica_2,MATCH(AJ$3,'Sub. Técnica'!$F$26:$O$26,0),0)),"",VLOOKUP(CONCATENATE($F45,"_",AJ$4),Subtecnica_2,MATCH(AJ$3,'Sub. Técnica'!$F$26:$O$26,0),0)),"")</f>
        <v>1</v>
      </c>
      <c r="AK45" t="str">
        <f>+IFERROR(IF(ISBLANK(VLOOKUP(CONCATENATE($F45,"_",AK$4),Subtecnica_2,MATCH(AK$3,'Sub. Técnica'!$F$26:$O$26,0),0)),"",VLOOKUP(CONCATENATE($F45,"_",AK$4),Subtecnica_2,MATCH(AK$3,'Sub. Técnica'!$F$26:$O$26,0),0)),"")</f>
        <v xml:space="preserve">La Subsecretaria Técnica en conjunto con sus dependencias durante el primer trimestre de 2020, centro su liderazgo y gestión en las siguientes acciones:
• Elaboración de un diagnóstico de desempeño sectorial tomando como fuente de información los datos de: empleo público (SIDEAP), índice de desempeño Institucional- FURAG, índice de transparencia por Bogotá- ITB, plan anticorrupción y atención al ciudadano- PAAC, Bogotá te escucha y PREDIS.
• Lineamientos para laa estrategia de formación virtual para servidores públicos del Distrito Capital: se ofertaron dos cursos de formación: gobernanza pública (868 inscritos) y líderes de la cultura de integridad (694 inscritos).
• Teletrabajo: Con ocasión a la declaratoria de emergencia decretada en el país, la Administración Distrital impartió lineamientos para la implementación de la estrategia del Teletrabajo Extraordinario a través de la Circular 024 de marzo/2020. Se efectuó seguimiento y acompañamiento a las entidades en la implementación y adopción del modelo. Se emitió una cartilla para los servidores del Distrito de “Tips de trabajo en casa”.
• Acciones de relacionamiento Internacional: Se participó en la instalación de la mesa directiva de Marca Ciudad cuyo objetivo fue sentar las bases del plan de acción de cara a la actual administración. De otra parte, se resalta la participación de la administración en el evento convocado por la red de ciudades- C40, que representa a más de 700 millones de ciudadanos y un cuarto de la economía mundial y en Wise Waste Cities Campaign (WWCC), posicionando a Bogotá como líder global en el cumplimiento de los ODS.
• Transparencia: Se efectuó seguimiento y se presentó a las entidades distritales el análisis del estado del arte y documentación de la Política Pública de Transparencia, Integridad y no Tolerancia con la corrupción. Se inició el desarrollo de la iniciativa “Presupuesto ciudadano” para mejorar la entrega de información al ciudadano.
• Innovación- iBO: Presentar a la “Convocatoria Internacional de proyectos LABIMEX” para “Accesibilidad y autonomía de personas con discapacidad” el proyecto de innovación “Teletrabajo: un camino a la inclusión laboral”.  Se desarrolló la propuesta de la estrategia de Innovación Pública en el Distrito – iBO.
• Estrategia Distrital de mi MIPG: Se hizo la identificación y análisis de brechas en la implementación del modelo. Definir la alineación estratégica con el nuevo PDD (2020-2024). Elaboración de la propuesta del plan marco para MIPG y definición de las acciones estratégicas para el cuatrienio.
• Negociación Sindical: La Subsecretaria Técnica fue designada como miembro principal de la mesa distrital de negociación, se elaboró el "Protocolo negociación colectiva - empleados públicos del Distrito Capital", un documento de lineamientos y aspectos normativos a observar durante el proceso de negociación por parte de las entidades del distrito, entre otras acciones.
• Participación de instancias: La Subsecretaria Técnica participó en las instancias a las que fue convocada como delegada de la Administración Distrital, a saber: Consejo Distrital de Archivo y Junta Directiva de Invest In Bogota, entre los más representativos.
• Gerencia Proyecto 1125: Se efectuaron actividades de direccionamiento y seguimiento al cumplimiento de las metas programadas en este proyecto de inversión para 2020.
</v>
      </c>
      <c r="AL45" t="str">
        <f>+IFERROR(IF(ISBLANK(VLOOKUP(CONCATENATE($F45,"_",AL$4),Subtecnica_2,MATCH(AL$3,'Sub. Técnica'!$F$26:$O$26,0),0)),"",VLOOKUP(CONCATENATE($F45,"_",AL$4),Subtecnica_2,MATCH(AL$3,'Sub. Técnica'!$F$26:$O$26,0),0)),"")</f>
        <v>No se presentaron</v>
      </c>
      <c r="AM45" t="str">
        <f>+IFERROR(IF(ISBLANK(VLOOKUP(CONCATENATE($F45,"_",AM$4),Subtecnica_2,MATCH(AM$3,'Sub. Técnica'!$F$26:$O$26,0),0)),"",VLOOKUP(CONCATENATE($F45,"_",AM$4),Subtecnica_2,MATCH(AM$3,'Sub. Técnica'!$F$26:$O$26,0),0)),"")</f>
        <v xml:space="preserve">Estrategia de implementación Distrital de MIPG alineada con el Plan Distrital de Desarrollo 2020-2024.
Elaboración de un diagnóstico de desempeño sectorial para el Distrito Capital.
Seguimiento de la Política Pública de Transparencia y entrega de los informes a la SDP .
Definición de la estrategia de innovación iBO.
Dar cumplimiento a las funciones establecidas en el decreto 425 de 2016  y directrices impartidas por la entidad.
Cumplimiento por parte del Distrito de la normativa en negociación colectiva que involucra la mesa Distrital de Negociación.
</v>
      </c>
      <c r="AN45" t="str">
        <f>+IFERROR(IF(ISBLANK(VLOOKUP(CONCATENATE($F45,"_",AN$4),Subtecnica_2,MATCH(AN$3,'Sub. Técnica'!$F$26:$O$26,0),0)),"",VLOOKUP(CONCATENATE($F45,"_",AN$4),Subtecnica_2,MATCH(AN$3,'Sub. Técnica'!$F$26:$O$26,0),0)),"")</f>
        <v/>
      </c>
      <c r="AO45" t="str">
        <f>+IFERROR(IF(ISBLANK(VLOOKUP(CONCATENATE($F45,"_",AO$4),Subtecnica_2,MATCH(AO$3,'Sub. Técnica'!$F$26:$O$26,0),0)),"",VLOOKUP(CONCATENATE($F45,"_",AO$4),Subtecnica_2,MATCH(AO$3,'Sub. Técnica'!$F$26:$O$26,0),0)),"")</f>
        <v/>
      </c>
      <c r="AP45" t="str">
        <f>+IFERROR(IF(ISBLANK(VLOOKUP(CONCATENATE($F45,"_",AP$4),Subtecnica_2,MATCH(AP$3,'Sub. Técnica'!$F$26:$O$26,0),0)),"",VLOOKUP(CONCATENATE($F45,"_",AP$4),Subtecnica_2,MATCH(AP$3,'Sub. Técnica'!$F$26:$O$26,0),0)),"")</f>
        <v>N/A</v>
      </c>
      <c r="AQ45" t="str">
        <f>+IFERROR(IF(ISBLANK(VLOOKUP(CONCATENATE($F45,"_",AQ$4),Subtecnica_2,MATCH(AQ$3,'Sub. Técnica'!$F$26:$O$26,0),0)),"",VLOOKUP(CONCATENATE($F45,"_",AQ$4),Subtecnica_2,MATCH(AQ$3,'Sub. Técnica'!$F$26:$O$26,0),0)),"")</f>
        <v>N/A</v>
      </c>
      <c r="AR45" t="str">
        <f>+IFERROR(IF(ISBLANK(VLOOKUP(CONCATENATE($F45,"_",AR$4),Subtecnica_2,MATCH(AR$3,'Sub. Técnica'!$F$26:$O$26,0),0)),"",VLOOKUP(CONCATENATE($F45,"_",AR$4),Subtecnica_2,MATCH(AR$3,'Sub. Técnica'!$F$26:$O$26,0),0)),"")</f>
        <v>N/A</v>
      </c>
      <c r="AS45" t="str">
        <f>+IFERROR(IF(ISBLANK(VLOOKUP(CONCATENATE($F45,"_",AS$4),Subtecnica_2,MATCH(AS$3,'Sub. Técnica'!$F$26:$O$26,0),0)),"",VLOOKUP(CONCATENATE($F45,"_",AS$4),Subtecnica_2,MATCH(AS$3,'Sub. Técnica'!$F$26:$O$26,0),0)),"")</f>
        <v/>
      </c>
      <c r="AT45" t="str">
        <f>+IFERROR(IF(ISBLANK(VLOOKUP(CONCATENATE($F45,"_",AT$4),Subtecnica_2,MATCH(AT$3,'Sub. Técnica'!$F$26:$O$26,0),0)),"",VLOOKUP(CONCATENATE($F45,"_",AT$4),Subtecnica_2,MATCH(AT$3,'Sub. Técnica'!$F$26:$O$26,0),0)),"")</f>
        <v/>
      </c>
      <c r="AU45" t="str">
        <f>+IFERROR(IF(ISBLANK(VLOOKUP(CONCATENATE($F45,"_",AU$4),Subtecnica_2,MATCH(AU$3,'Sub. Técnica'!$F$26:$O$26,0),0)),"",VLOOKUP(CONCATENATE($F45,"_",AU$4),Subtecnica_2,MATCH(AU$3,'Sub. Técnica'!$F$26:$O$26,0),0)),"")</f>
        <v>N/A</v>
      </c>
      <c r="AV45" t="str">
        <f>+IFERROR(IF(ISBLANK(VLOOKUP(CONCATENATE($F45,"_",AV$4),Subtecnica_2,MATCH(AV$3,'Sub. Técnica'!$F$26:$O$26,0),0)),"",VLOOKUP(CONCATENATE($F45,"_",AV$4),Subtecnica_2,MATCH(AV$3,'Sub. Técnica'!$F$26:$O$26,0),0)),"")</f>
        <v>N/A</v>
      </c>
      <c r="AW45" t="str">
        <f>+IFERROR(IF(ISBLANK(VLOOKUP(CONCATENATE($F45,"_",AW$4),Subtecnica_2,MATCH(AW$3,'Sub. Técnica'!$F$26:$O$26,0),0)),"",VLOOKUP(CONCATENATE($F45,"_",AW$4),Subtecnica_2,MATCH(AW$3,'Sub. Técnica'!$F$26:$O$26,0),0)),"")</f>
        <v>N/A</v>
      </c>
      <c r="AX45">
        <f>+IFERROR(IF(ISBLANK(VLOOKUP(CONCATENATE($F45,"_",AX$4),Subtecnica_2,MATCH(AX$3,'Sub. Técnica'!$F$26:$O$26,0),0)),"",VLOOKUP(CONCATENATE($F45,"_",AX$4),Subtecnica_2,MATCH(AX$3,'Sub. Técnica'!$F$26:$O$26,0),0)),"")</f>
        <v>1</v>
      </c>
      <c r="AY45">
        <f>+IFERROR(IF(ISBLANK(VLOOKUP(CONCATENATE($F45,"_",AY$4),Subtecnica_2,MATCH(AY$3,'Sub. Técnica'!$F$26:$O$26,0),0)),"",VLOOKUP(CONCATENATE($F45,"_",AY$4),Subtecnica_2,MATCH(AY$3,'Sub. Técnica'!$F$26:$O$26,0),0)),"")</f>
        <v>1</v>
      </c>
      <c r="AZ45" t="str">
        <f>+IFERROR(IF(ISBLANK(VLOOKUP(CONCATENATE($F45,"_",AZ$4),Subtecnica_2,MATCH(AZ$3,'Sub. Técnica'!$F$26:$O$26,0),0)),"",VLOOKUP(CONCATENATE($F45,"_",AZ$4),Subtecnica_2,MATCH(AZ$3,'Sub. Técnica'!$F$26:$O$26,0),0)),"")</f>
        <v>La Subsecretaria Técnica en conjunto con sus dependencias durante el segundo trimestre de 2020 centró su liderazgo y gestión en las siguientes acciones:
• Diagnósticos de desempeño sectorial: Se coordinó la elaboración de presentaciones por sector de la administración en versión ejecutiva compilando el estado de los componentes del Tablero. Se realizó transferencia del conocimiento a la Dirección de Desarrollo Institucional con el fin de realizar socialización de los resultados con cada sector de la administración. 
• Formación virtual: Se realizó el ciclo académico en la Plataforma SOY 10 de los cursos de: Teletrabajo (1813 servidores aprobados); Introducción a las Políticas Públicas (286 servidores aprobados), Conceptualización de los Pilares de Transparencia, Integridad y Colaboración (334 servidores aprobados); Contextualización de los Pilares de Transparencia, Participación y Colaboración (554 servidores aprobados) y Supervisión de Contratación Estatal (366 servidores aprobados).
• Teletrabajo: Se llevó a cabo la socialización del Programa Teletrabajo y frente a los compromisos de la Política Pública Distrital de Gestión Integral de Talento Humano 2020 – 2030 y el Plan de Desarrollo Distrital 2020-2024 a las entidades distritales, se presentó la metodología de implementación. Así mismo, se aplicó y procesó los resultados de la encuesta “Yo me quedo en casa” realizada en los 15 sectores de la administración y a los órganos de control del Distrito. También se realizó un Facebook Live con el propósito de acercar más a la ciudadanía hacia las propuestas de trabajo desde casa en tiempos de COVID y finalmente se dispuso en la página web de la Secretaría General información de georreferenciación de los servidores del distrito con trabajo en casa y zonas críticas de contagio por COVID-19.
• Acciones de relacionamiento Internacional: DONATÓN BOGOTÁ SOLIDARIA EN CASA. Gracias a la labor de coordinación de la DDRI, y al trabajo de todas las entidades distritales que se unieron al proyecto de la Donatón, esta iniciativa se convirtió en la campaña más exitosa en la historia de Colombia en recaudar donaciones en un solo día, al haber logrado recaudar más de 51 mil millones de pesos, con aportes de 36.771 ciudadanos y más de 130 empresas, fundaciones y gobiernos extranjeros, en un lapso de 12 horas consecutivas.
• Transparencia: Se desarrollaron los análisis, observaciones y aportes en el tema de Transparencia, integridad y no tolerancia con la corrupción al documento de “Diagnóstico del plan de desarrollo 2020 – 2023”. Se consolidó la Estrategia de transparencia, integridad y lucha contra la corrupción a desarrollar en el Distrito Capital.
• Innovación- iBO: Se desarrolló el primer documento de acuerdos alrededor del Laboratorio de Innovación de Bogotá – iBO, que orienta las acciones de consolidación de esta iniciativa en el Plan Distrital de Desarrollo 2020 – 2023. Igualmente se avanzó en el prototipado de la estrategia de Presupuesto Ciudadano.
• Estrategia Distrital de mi MIPG:  Se acompañó en el segundo trimestre de la presente vigencia a la Dirección Distrital de Desarrollo Institucional, en su proceso de fortalecer la capacidad técnica institucional de las entidades distritales en la implementación y seguimiento del Modelo Integrado de Planeación y Gestión – MIPG, mediante la puesta en marcha de la estrategia distrital de MIPG. Se construyó un documento de comentarios al proyecto de plan de desarrollo y su documento técnico teniendo en cuenta el propósito No.5 y su logro No.30. Se coordinó la revisión del plan de desarrollo Distrital, Un Nuevo Contrato Social para la Bogotá del Siglo XXI para la identificación de acciones a ejecutar por parte del sector Gestión Pública y en especial de la Subsecretaría Técnica.
• Negociación Sindical: Se elaboró una matriz que consolida y relaciona los programas generales que reportaron los sectores en el Plan Distrital de Desarrollo 2020-2023, “un nuevo contrato social y ambiental para la Bogotá del siglo XXI” para cumplir el pacto laboral suscrito por la Alcaldesa en Campaña. De otra parte se informó a los sectores Distritales de las disposiciones en materia de negociación colectiva que impartió el Ministerio del Trabajo en conjunto con el DAFP.
•  Comisión Intersectorial de Gestión y Desempeño – SIG: El pasado 11 de mayo se realizó la primera sesión de la Comisión Intersectorial de Gestión y Desempeño.
• Participación de instancias: La Subsecretaria Técnica participó en las instancias a las que fue convocada como delegada de la Administración Distrital, a saber: Consejo Distrital de Archivo, Junta Directiva de Invest In Bogota y Consejo de Administración de la Caja de Vivienda Popular.
• Gerencia Proyecto 1125: Se efectuaron actividades de direccionamiento, seguimiento y cierre  de las metas programadas en este proyecto de inversión para 2020.</v>
      </c>
      <c r="BA45" t="str">
        <f>+IFERROR(IF(ISBLANK(VLOOKUP(CONCATENATE($F45,"_",BA$4),Subtecnica_2,MATCH(BA$3,'Sub. Técnica'!$F$26:$O$26,0),0)),"",VLOOKUP(CONCATENATE($F45,"_",BA$4),Subtecnica_2,MATCH(BA$3,'Sub. Técnica'!$F$26:$O$26,0),0)),"")</f>
        <v>No se presentaron</v>
      </c>
      <c r="BB45" t="str">
        <f>+IFERROR(IF(ISBLANK(VLOOKUP(CONCATENATE($F45,"_",BB$4),Subtecnica_2,MATCH(BB$3,'Sub. Técnica'!$F$26:$O$26,0),0)),"",VLOOKUP(CONCATENATE($F45,"_",BB$4),Subtecnica_2,MATCH(BB$3,'Sub. Técnica'!$F$26:$O$26,0),0)),"")</f>
        <v>Estrategia de implementación Distrital de MIPG alineada con el Plan Distrital de Desarrollo 2020-2023.
Conclusiones de diagnóstico de desempeño sectorial e informe para los sectores como insumo para formular  estrategias y acciones que disminuyan las brechas identificadas.
Consolidación de la Estrategia de transparencia, integridad y lucha contra la corrupción a desarrollar en el Distrito Capital.
Se definió en conjunto con la Alta Consejería de las TIC, la ruta de trabajo de iBO, que consta de las fases, actividades y productos a desarrollar en 2020 y perspectivas para su implementación en el marco del actual Plan Distrital de Desarrollo 2020 - 2023.
Se dio cumplimiento a las funciones establecidas en el Decreto 425 de 2016  y demás directrices impartidas por la entidad.</v>
      </c>
      <c r="BC45">
        <f t="shared" si="10"/>
        <v>2</v>
      </c>
      <c r="BD45">
        <f t="shared" si="10"/>
        <v>2</v>
      </c>
      <c r="BE45" s="129" t="str">
        <f>+IFERROR(IF(ISBLANK(VLOOKUP(CONCATENATE($F45,"_",BE$4),P1156_4,MATCH(BE$3,PAAC!$E$19:$M$19,0),0)),"",VLOOKUP(CONCATENATE($F45,"_",BE$4),P1156_4,MATCH(BE$3,PAAC!$E$19:$M$19,0),0)),"")</f>
        <v/>
      </c>
      <c r="BF45" s="129" t="str">
        <f>+IFERROR(IF(ISBLANK(VLOOKUP(CONCATENATE($F45,"_",BF$4),P1156_4,MATCH(BF$3,PAAC!$E$19:$M$19,0),0)),"",VLOOKUP(CONCATENATE($F45,"_",BF$4),P1156_4,MATCH(BF$3,PAAC!$E$19:$M$19,0),0)),"")</f>
        <v/>
      </c>
      <c r="BG45" s="129" t="str">
        <f>+IFERROR(IF(ISBLANK(VLOOKUP(CONCATENATE($F45,"_",BG$4),P1156_4,MATCH(BG$3,PAAC!$E$19:$M$19,0),0)),"",VLOOKUP(CONCATENATE($F45,"_",BG$4),P1156_4,MATCH(BG$3,PAAC!$E$19:$M$19,0),0)),"")</f>
        <v/>
      </c>
      <c r="BH45" s="129" t="str">
        <f>+IFERROR(IF(ISBLANK(VLOOKUP(CONCATENATE($F45,"_",BH$4),P1156_4,MATCH(BH$3,PAAC!$E$19:$M$19,0),0)),"",VLOOKUP(CONCATENATE($F45,"_",BH$4),P1156_4,MATCH(BH$3,PAAC!$E$19:$M$19,0),0)),"")</f>
        <v/>
      </c>
      <c r="BI45" s="129" t="str">
        <f>+IFERROR(IF(ISBLANK(VLOOKUP(CONCATENATE($F45,"_",BI$4),P1156_4,MATCH(BI$3,PAAC!$E$19:$M$19,0),0)),"",VLOOKUP(CONCATENATE($F45,"_",BI$4),P1156_4,MATCH(BI$3,PAAC!$E$19:$M$19,0),0)),"")</f>
        <v/>
      </c>
      <c r="BJ45" s="129" t="str">
        <f>+IFERROR(IF(ISBLANK(VLOOKUP(CONCATENATE($F45,"_",BJ$4),P1156_4,MATCH(BJ$3,PAAC!$E$19:$M$19,0),0)),"",VLOOKUP(CONCATENATE($F45,"_",BJ$4),P1156_4,MATCH(BJ$3,PAAC!$E$19:$M$19,0),0)),"")</f>
        <v/>
      </c>
      <c r="BK45" s="129" t="str">
        <f>+IFERROR(IF(ISBLANK(VLOOKUP(CONCATENATE($F45,"_",BK$4),P1156_4,MATCH(BK$3,PAAC!$E$19:$M$19,0),0)),"",VLOOKUP(CONCATENATE($F45,"_",BK$4),P1156_4,MATCH(BK$3,PAAC!$E$19:$M$19,0),0)),"")</f>
        <v/>
      </c>
      <c r="BL45" s="129" t="str">
        <f>+IFERROR(IF(ISBLANK(VLOOKUP(CONCATENATE($F45,"_",BL$4),P1156_4,MATCH(BL$3,PAAC!$E$19:$M$19,0),0)),"",VLOOKUP(CONCATENATE($F45,"_",BL$4),P1156_4,MATCH(BL$3,PAAC!$E$19:$M$19,0),0)),"")</f>
        <v/>
      </c>
      <c r="BM45" s="129" t="str">
        <f>+IFERROR(IF(ISBLANK(VLOOKUP(CONCATENATE($F45,"_",BM$4),P1156_4,MATCH(BM$3,PAAC!$E$19:$M$19,0),0)),"",VLOOKUP(CONCATENATE($F45,"_",BM$4),P1156_4,MATCH(BM$3,PAAC!$E$19:$M$19,0),0)),"")</f>
        <v/>
      </c>
      <c r="BN45" s="129" t="str">
        <f>+IFERROR(IF(ISBLANK(VLOOKUP(CONCATENATE($F45,"_",BN$4),P1156_4,MATCH(BN$3,PAAC!$E$19:$M$19,0),0)),"",VLOOKUP(CONCATENATE($F45,"_",BN$4),P1156_4,MATCH(BN$3,PAAC!$E$19:$M$19,0),0)),"")</f>
        <v/>
      </c>
      <c r="BO45" s="129" t="str">
        <f>+IFERROR(IF(ISBLANK(VLOOKUP(CONCATENATE($F45,"_",BO$4),P1156_4,MATCH(BO$3,PAAC!$E$19:$M$19,0),0)),"",VLOOKUP(CONCATENATE($F45,"_",BO$4),P1156_4,MATCH(BO$3,PAAC!$E$19:$M$19,0),0)),"")</f>
        <v/>
      </c>
      <c r="BP45" s="129" t="str">
        <f>+IFERROR(IF(ISBLANK(VLOOKUP(CONCATENATE($F45,"_",BP$4),P1156_4,MATCH(BP$3,PAAC!$E$19:$M$19,0),0)),"",VLOOKUP(CONCATENATE($F45,"_",BP$4),P1156_4,MATCH(BP$3,PAAC!$E$19:$M$19,0),0)),"")</f>
        <v/>
      </c>
      <c r="BQ45" s="129" t="str">
        <f>+IFERROR(IF(ISBLANK(VLOOKUP(CONCATENATE($F45,"_",BQ$4),P1156_4,MATCH(BQ$3,PAAC!$E$19:$M$19,0),0)),"",VLOOKUP(CONCATENATE($F45,"_",BQ$4),P1156_4,MATCH(BQ$3,PAAC!$E$19:$M$19,0),0)),"")</f>
        <v/>
      </c>
      <c r="BR45" s="129" t="str">
        <f>+IFERROR(IF(ISBLANK(VLOOKUP(CONCATENATE($F45,"_",BR$4),P1156_4,MATCH(BR$3,PAAC!$E$19:$M$19,0),0)),"",VLOOKUP(CONCATENATE($F45,"_",BR$4),P1156_4,MATCH(BR$3,PAAC!$E$19:$M$19,0),0)),"")</f>
        <v/>
      </c>
      <c r="BS45" s="129" t="str">
        <f>+IFERROR(IF(ISBLANK(VLOOKUP(CONCATENATE($F45,"_",BS$4),P1156_4,MATCH(BS$3,PAAC!$E$19:$M$19,0),0)),"",VLOOKUP(CONCATENATE($F45,"_",BS$4),P1156_4,MATCH(BS$3,PAAC!$E$19:$M$19,0),0)),"")</f>
        <v/>
      </c>
      <c r="BT45" s="129" t="str">
        <f>+IFERROR(IF(ISBLANK(VLOOKUP(CONCATENATE($F45,"_",BT$4),P1156_4,MATCH(BT$3,PAAC!$E$19:$M$19,0),0)),"",VLOOKUP(CONCATENATE($F45,"_",BT$4),P1156_4,MATCH(BT$3,PAAC!$E$19:$M$19,0),0)),"")</f>
        <v/>
      </c>
      <c r="BU45" s="129" t="str">
        <f>+IFERROR(IF(ISBLANK(VLOOKUP(CONCATENATE($F45,"_",BU$4),P1156_4,MATCH(BU$3,PAAC!$E$19:$M$19,0),0)),"",VLOOKUP(CONCATENATE($F45,"_",BU$4),P1156_4,MATCH(BU$3,PAAC!$E$19:$M$19,0),0)),"")</f>
        <v/>
      </c>
      <c r="BV45" s="129" t="str">
        <f>+IFERROR(IF(ISBLANK(VLOOKUP(CONCATENATE($F45,"_",BV$4),P1156_4,MATCH(BV$3,PAAC!$E$19:$M$19,0),0)),"",VLOOKUP(CONCATENATE($F45,"_",BV$4),P1156_4,MATCH(BV$3,PAAC!$E$19:$M$19,0),0)),"")</f>
        <v/>
      </c>
      <c r="BW45" s="129" t="str">
        <f>+IFERROR(IF(ISBLANK(VLOOKUP(CONCATENATE($F45,"_",BW$4),P1156_4,MATCH(BW$3,PAAC!$E$19:$M$19,0),0)),"",VLOOKUP(CONCATENATE($F45,"_",BW$4),P1156_4,MATCH(BW$3,PAAC!$E$19:$M$19,0),0)),"")</f>
        <v/>
      </c>
      <c r="BX45" s="129" t="str">
        <f>+IFERROR(IF(ISBLANK(VLOOKUP(CONCATENATE($F45,"_",BX$4),P1156_4,MATCH(BX$3,PAAC!$E$19:$M$19,0),0)),"",VLOOKUP(CONCATENATE($F45,"_",BX$4),P1156_4,MATCH(BX$3,PAAC!$E$19:$M$19,0),0)),"")</f>
        <v/>
      </c>
      <c r="BY45" s="129" t="str">
        <f>+IFERROR(IF(ISBLANK(VLOOKUP(CONCATENATE($F45,"_",BY$4),P1156_4,MATCH(BY$3,PAAC!$E$19:$M$19,0),0)),"",VLOOKUP(CONCATENATE($F45,"_",BY$4),P1156_4,MATCH(BY$3,PAAC!$E$19:$M$19,0),0)),"")</f>
        <v/>
      </c>
      <c r="BZ45" s="129" t="str">
        <f>+IFERROR(IF(ISBLANK(VLOOKUP(CONCATENATE($F45,"_",BZ$4),P1156_4,MATCH(BZ$3,PAAC!$E$19:$M$19,0),0)),"",VLOOKUP(CONCATENATE($F45,"_",BZ$4),P1156_4,MATCH(BZ$3,PAAC!$E$19:$M$19,0),0)),"")</f>
        <v/>
      </c>
      <c r="CA45" s="129" t="str">
        <f>+IFERROR(IF(ISBLANK(VLOOKUP(CONCATENATE($F45,"_",CA$4),P1156_4,MATCH(CA$3,PAAC!$E$19:$M$19,0),0)),"",VLOOKUP(CONCATENATE($F45,"_",CA$4),P1156_4,MATCH(CA$3,PAAC!$E$19:$M$19,0),0)),"")</f>
        <v/>
      </c>
      <c r="CB45" s="129" t="str">
        <f>+IFERROR(IF(ISBLANK(VLOOKUP(CONCATENATE($F45,"_",CB$4),P1156_4,MATCH(CB$3,PAAC!$E$19:$M$19,0),0)),"",VLOOKUP(CONCATENATE($F45,"_",CB$4),P1156_4,MATCH(CB$3,PAAC!$E$19:$M$19,0),0)),"")</f>
        <v/>
      </c>
      <c r="CC45" s="129" t="str">
        <f>+IFERROR(IF(ISBLANK(VLOOKUP(CONCATENATE($F45,"_",CC$4),P1156_4,MATCH(CC$3,PAAC!$E$19:$M$19,0),0)),"",VLOOKUP(CONCATENATE($F45,"_",CC$4),P1156_4,MATCH(CC$3,PAAC!$E$19:$M$19,0),0)),"")</f>
        <v/>
      </c>
      <c r="CD45" s="129" t="str">
        <f t="shared" si="11"/>
        <v/>
      </c>
      <c r="CE45" s="129" t="str">
        <f t="shared" si="3"/>
        <v/>
      </c>
      <c r="CF45" s="129" t="str">
        <f t="shared" si="4"/>
        <v/>
      </c>
      <c r="CG45" s="129" t="str">
        <f t="shared" si="5"/>
        <v/>
      </c>
      <c r="CH45" s="129" t="str">
        <f t="shared" si="6"/>
        <v/>
      </c>
      <c r="CI45" t="str">
        <f t="shared" si="31"/>
        <v>Cumple</v>
      </c>
      <c r="CJ45" t="str">
        <f t="shared" si="31"/>
        <v>Cumplido</v>
      </c>
      <c r="CK45" t="str">
        <f t="shared" si="31"/>
        <v>Adecuado</v>
      </c>
      <c r="CL45" t="str">
        <f t="shared" si="31"/>
        <v>Coherente</v>
      </c>
      <c r="CM45" t="str">
        <f t="shared" si="31"/>
        <v>Concuerda</v>
      </c>
      <c r="CN45" t="str">
        <f t="shared" si="31"/>
        <v>No aplica</v>
      </c>
      <c r="CO45" t="str">
        <f t="shared" si="31"/>
        <v>No aplica</v>
      </c>
      <c r="CP45" t="str">
        <f t="shared" si="31"/>
        <v>Adecuado</v>
      </c>
      <c r="CQ45" t="str">
        <f t="shared" si="31"/>
        <v>Oportuna</v>
      </c>
      <c r="CR45" t="str">
        <f t="shared" si="31"/>
        <v>Ninguna</v>
      </c>
      <c r="CS45" t="str">
        <f t="shared" si="32"/>
        <v>Fernando Escobar Mendoza</v>
      </c>
      <c r="CT45">
        <f t="shared" si="32"/>
        <v>0</v>
      </c>
      <c r="CU45">
        <f t="shared" si="32"/>
        <v>0</v>
      </c>
      <c r="CV45">
        <f t="shared" si="32"/>
        <v>0</v>
      </c>
      <c r="CW45">
        <f t="shared" si="32"/>
        <v>0</v>
      </c>
      <c r="CX45">
        <f t="shared" si="32"/>
        <v>0</v>
      </c>
      <c r="CY45">
        <f t="shared" si="32"/>
        <v>0</v>
      </c>
      <c r="CZ45">
        <f t="shared" si="32"/>
        <v>0</v>
      </c>
      <c r="DA45">
        <f t="shared" si="32"/>
        <v>0</v>
      </c>
      <c r="DB45">
        <f t="shared" si="32"/>
        <v>0</v>
      </c>
      <c r="DC45">
        <f t="shared" si="33"/>
        <v>0</v>
      </c>
      <c r="DD45">
        <f t="shared" si="33"/>
        <v>0</v>
      </c>
      <c r="DE45" t="e">
        <f t="shared" si="33"/>
        <v>#REF!</v>
      </c>
      <c r="DF45" t="e">
        <f t="shared" si="33"/>
        <v>#REF!</v>
      </c>
      <c r="DG45" t="e">
        <f t="shared" si="33"/>
        <v>#REF!</v>
      </c>
      <c r="DH45" t="e">
        <f t="shared" si="33"/>
        <v>#REF!</v>
      </c>
      <c r="DI45" t="e">
        <f t="shared" si="33"/>
        <v>#REF!</v>
      </c>
      <c r="DJ45" t="e">
        <f t="shared" si="33"/>
        <v>#REF!</v>
      </c>
      <c r="DK45" t="e">
        <f t="shared" si="33"/>
        <v>#REF!</v>
      </c>
      <c r="DL45" t="e">
        <f t="shared" si="33"/>
        <v>#REF!</v>
      </c>
      <c r="DM45" t="e">
        <f t="shared" si="34"/>
        <v>#REF!</v>
      </c>
      <c r="DN45" t="e">
        <f t="shared" si="34"/>
        <v>#REF!</v>
      </c>
      <c r="DO45" t="e">
        <f t="shared" si="34"/>
        <v>#REF!</v>
      </c>
      <c r="DP45" t="e">
        <f t="shared" si="34"/>
        <v>#REF!</v>
      </c>
      <c r="DQ45" t="e">
        <f t="shared" si="34"/>
        <v>#REF!</v>
      </c>
      <c r="DR45" t="e">
        <f t="shared" si="34"/>
        <v>#REF!</v>
      </c>
      <c r="DS45" t="e">
        <f t="shared" si="34"/>
        <v>#REF!</v>
      </c>
      <c r="DT45" t="e">
        <f t="shared" si="34"/>
        <v>#REF!</v>
      </c>
      <c r="DU45" t="e">
        <f t="shared" si="34"/>
        <v>#REF!</v>
      </c>
      <c r="DV45" t="e">
        <f t="shared" si="34"/>
        <v>#REF!</v>
      </c>
      <c r="DW45" t="e">
        <f t="shared" si="34"/>
        <v>#REF!</v>
      </c>
      <c r="DX45" t="e">
        <f t="shared" si="34"/>
        <v>#REF!</v>
      </c>
    </row>
    <row r="46" spans="1:128" x14ac:dyDescent="0.3">
      <c r="A46" s="423" t="str">
        <f t="shared" si="16"/>
        <v>56A</v>
      </c>
      <c r="B46" t="str">
        <f t="shared" si="17"/>
        <v>1_Subsecretaría de Servicio a la Ciudadanía</v>
      </c>
      <c r="C46">
        <f t="shared" si="8"/>
        <v>1</v>
      </c>
      <c r="D46" t="str">
        <f t="shared" si="0"/>
        <v>Subsecretaría de Servicio a la Ciudadanía</v>
      </c>
      <c r="E46" t="str">
        <f t="shared" si="1"/>
        <v>sci</v>
      </c>
      <c r="F46" s="208" t="str">
        <f>Ciudadano!D10</f>
        <v>56A</v>
      </c>
      <c r="G46" t="str">
        <f t="shared" si="30"/>
        <v>Suma</v>
      </c>
      <c r="H46" t="str">
        <f t="shared" si="30"/>
        <v>Porcentaje</v>
      </c>
      <c r="I46">
        <f t="shared" si="30"/>
        <v>0</v>
      </c>
      <c r="J46">
        <f t="shared" si="30"/>
        <v>1</v>
      </c>
      <c r="K46" t="str">
        <f>+IFERROR(VLOOKUP($F46,Ciudadano_1,MATCH(K$5,Ciudadano!$D$9:$V$9,0),0),"")</f>
        <v>Suma</v>
      </c>
      <c r="L46">
        <f>+IFERROR(VLOOKUP($F46,Ciudadano_1,MATCH(L$5,Ciudadano!$D$9:$V$9,0),0),"")</f>
        <v>1</v>
      </c>
      <c r="M46">
        <f t="shared" si="35"/>
        <v>0</v>
      </c>
      <c r="N46">
        <f>+IFERROR(VLOOKUP($F46,Ciudadano_1,MATCH(N$5,Ciudadano!$D$9:$V$9,0),0),"")</f>
        <v>0</v>
      </c>
      <c r="O46">
        <f>+IFERROR(VLOOKUP($F46,Ciudadano_1,MATCH(O$5,Ciudadano!$D$9:$V$9,0),0),"")</f>
        <v>0</v>
      </c>
      <c r="P46">
        <f>+IFERROR(VLOOKUP($F46,Ciudadano_1,MATCH(P$5,Ciudadano!$D$9:$V$9,0),0),"")</f>
        <v>0</v>
      </c>
      <c r="Q46">
        <f>+IFERROR(VLOOKUP($F46,Ciudadano_1,MATCH(Q$5,Ciudadano!$D$9:$V$9,0),0),"")</f>
        <v>0</v>
      </c>
      <c r="R46">
        <f>+IFERROR(VLOOKUP($F46,Ciudadano_1,MATCH(R$5,Ciudadano!$D$9:$V$9,0),0),"")</f>
        <v>0</v>
      </c>
      <c r="S46">
        <f>+IFERROR(VLOOKUP($F46,Ciudadano_1,MATCH(S$5,Ciudadano!$D$9:$V$9,0),0),"")</f>
        <v>1</v>
      </c>
      <c r="T46">
        <f>+IFERROR(VLOOKUP($F46,Ciudadano_1,MATCH(T$5,Ciudadano!$D$9:$V$9,0),0),"")</f>
        <v>100</v>
      </c>
      <c r="U46">
        <f>+IFERROR(VLOOKUP($F46,Ciudadano_1,MATCH(U$5,Ciudadano!$D$9:$V$9,0),0),"")</f>
        <v>0</v>
      </c>
      <c r="V46">
        <f>+IFERROR(VLOOKUP($F46,Ciudadano_1,MATCH(V$5,Ciudadano!$D$9:$V$9,0),0),"")</f>
        <v>0</v>
      </c>
      <c r="W46" t="str">
        <f>+IFERROR(VLOOKUP($F46,Ciudadano_1,MATCH(W$5,Ciudadano!$D$9:$V$9,0),0),"")</f>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
      <c r="X46" t="str">
        <f>+IFERROR(VLOOKUP($F46,Ciudadano_1,MATCH(X$5,Ciudadano!$D$9:$V$9,0),0),"")</f>
        <v>Informe que contiene los resultados de la evaluación de implementación de la Política Pública de Servicio a la Ciudadanía, con corte a 31 de diciembre de 2019</v>
      </c>
      <c r="Y46">
        <f>+IFERROR(IF(ISBLANK(VLOOKUP(CONCATENATE($F46,"_",Y$4),Ciudadano_2,MATCH(Y$3,Ciudadano!$F$23:$O$23,0),0)),"",VLOOKUP(CONCATENATE($F46,"_",Y$4),Ciudadano_2,MATCH(Y$3,Ciudadano!$F$23:$O$23,0),0)),"")</f>
        <v>0</v>
      </c>
      <c r="Z46">
        <f>+IFERROR(IF(ISBLANK(VLOOKUP(CONCATENATE($F46,"_",Z$4),Ciudadano_2,MATCH(Z$3,Ciudadano!$F$23:$O$23,0),0)),"",VLOOKUP(CONCATENATE($F46,"_",Z$4),Ciudadano_2,MATCH(Z$3,Ciudadano!$F$23:$O$23,0),0)),"")</f>
        <v>0</v>
      </c>
      <c r="AA46">
        <f>+IFERROR(IF(ISBLANK(VLOOKUP(CONCATENATE($F46,"_",AA$4),Ciudadano_2,MATCH(AA$3,Ciudadano!$F$23:$O$23,0),0)),"",VLOOKUP(CONCATENATE($F46,"_",AA$4),Ciudadano_2,MATCH(AA$3,Ciudadano!$F$23:$O$23,0),0)),"")</f>
        <v>0</v>
      </c>
      <c r="AB46" t="str">
        <f>+IFERROR(IF(ISBLANK(VLOOKUP(CONCATENATE($F46,"_",AB$4),Ciudadano_2,MATCH(AB$3,Ciudadano!$F$23:$O$23,0),0)),"",VLOOKUP(CONCATENATE($F46,"_",AB$4),Ciudadano_2,MATCH(AB$3,Ciudadano!$F$23:$O$23,0),0)),"")</f>
        <v>N/A</v>
      </c>
      <c r="AC46" t="str">
        <f>+IFERROR(IF(ISBLANK(VLOOKUP(CONCATENATE($F46,"_",AC$4),Ciudadano_2,MATCH(AC$3,Ciudadano!$F$23:$O$23,0),0)),"",VLOOKUP(CONCATENATE($F46,"_",AC$4),Ciudadano_2,MATCH(AC$3,Ciudadano!$F$23:$O$23,0),0)),"")</f>
        <v>N/A</v>
      </c>
      <c r="AD46">
        <f>+IFERROR(IF(ISBLANK(VLOOKUP(CONCATENATE($F46,"_",AD$4),Ciudadano_2,MATCH(AD$3,Ciudadano!$F$23:$O$23,0),0)),"",VLOOKUP(CONCATENATE($F46,"_",AD$4),Ciudadano_2,MATCH(AD$3,Ciudadano!$F$23:$O$23,0),0)),"")</f>
        <v>0</v>
      </c>
      <c r="AE46">
        <f>+IFERROR(IF(ISBLANK(VLOOKUP(CONCATENATE($F46,"_",AE$4),Ciudadano_2,MATCH(AE$3,Ciudadano!$F$23:$O$23,0),0)),"",VLOOKUP(CONCATENATE($F46,"_",AE$4),Ciudadano_2,MATCH(AE$3,Ciudadano!$F$23:$O$23,0),0)),"")</f>
        <v>0</v>
      </c>
      <c r="AF46">
        <f>+IFERROR(IF(ISBLANK(VLOOKUP(CONCATENATE($F46,"_",AF$4),Ciudadano_2,MATCH(AF$3,Ciudadano!$F$23:$O$23,0),0)),"",VLOOKUP(CONCATENATE($F46,"_",AF$4),Ciudadano_2,MATCH(AF$3,Ciudadano!$F$23:$O$23,0),0)),"")</f>
        <v>0</v>
      </c>
      <c r="AG46" t="str">
        <f>+IFERROR(IF(ISBLANK(VLOOKUP(CONCATENATE($F46,"_",AG$4),Ciudadano_2,MATCH(AG$3,Ciudadano!$F$23:$O$23,0),0)),"",VLOOKUP(CONCATENATE($F46,"_",AG$4),Ciudadano_2,MATCH(AG$3,Ciudadano!$F$23:$O$23,0),0)),"")</f>
        <v>N/A</v>
      </c>
      <c r="AH46" t="str">
        <f>+IFERROR(IF(ISBLANK(VLOOKUP(CONCATENATE($F46,"_",AH$4),Ciudadano_2,MATCH(AH$3,Ciudadano!$F$23:$O$23,0),0)),"",VLOOKUP(CONCATENATE($F46,"_",AH$4),Ciudadano_2,MATCH(AH$3,Ciudadano!$F$23:$O$23,0),0)),"")</f>
        <v>N/A</v>
      </c>
      <c r="AI46">
        <f>+IFERROR(IF(ISBLANK(VLOOKUP(CONCATENATE($F46,"_",AI$4),Ciudadano_2,MATCH(AI$3,Ciudadano!$F$23:$O$23,0),0)),"",VLOOKUP(CONCATENATE($F46,"_",AI$4),Ciudadano_2,MATCH(AI$3,Ciudadano!$F$23:$O$23,0),0)),"")</f>
        <v>0</v>
      </c>
      <c r="AJ46">
        <f>+IFERROR(IF(ISBLANK(VLOOKUP(CONCATENATE($F46,"_",AJ$4),Ciudadano_2,MATCH(AJ$3,Ciudadano!$F$23:$O$23,0),0)),"",VLOOKUP(CONCATENATE($F46,"_",AJ$4),Ciudadano_2,MATCH(AJ$3,Ciudadano!$F$23:$O$23,0),0)),"")</f>
        <v>0</v>
      </c>
      <c r="AK46" t="str">
        <f>+IFERROR(IF(ISBLANK(VLOOKUP(CONCATENATE($F46,"_",AK$4),Ciudadano_2,MATCH(AK$3,Ciudadano!$F$23:$O$23,0),0)),"",VLOOKUP(CONCATENATE($F46,"_",AK$4),Ciudadano_2,MATCH(AK$3,Ciudadano!$F$23:$O$23,0),0)),"")</f>
        <v>Se solicitó el reporte de avance o cumplimiento de indicadores de la PPDSC, con corte a 31 de diciembre de 2019 a las entidades participantes, de acuerdo a lo solicitado por la Secretaría Distrital de Planeación.</v>
      </c>
      <c r="AL46" t="str">
        <f>+IFERROR(IF(ISBLANK(VLOOKUP(CONCATENATE($F46,"_",AL$4),Ciudadano_2,MATCH(AL$3,Ciudadano!$F$23:$O$23,0),0)),"",VLOOKUP(CONCATENATE($F46,"_",AL$4),Ciudadano_2,MATCH(AL$3,Ciudadano!$F$23:$O$23,0),0)),"")</f>
        <v>N/A</v>
      </c>
      <c r="AM46" t="str">
        <f>+IFERROR(IF(ISBLANK(VLOOKUP(CONCATENATE($F46,"_",AM$4),Ciudadano_2,MATCH(AM$3,Ciudadano!$F$23:$O$23,0),0)),"",VLOOKUP(CONCATENATE($F46,"_",AM$4),Ciudadano_2,MATCH(AM$3,Ciudadano!$F$23:$O$23,0),0)),"")</f>
        <v>N/A</v>
      </c>
      <c r="AN46">
        <f>+IFERROR(IF(ISBLANK(VLOOKUP(CONCATENATE($F46,"_",AN$4),Ciudadano_2,MATCH(AN$3,Ciudadano!$F$23:$O$23,0),0)),"",VLOOKUP(CONCATENATE($F46,"_",AN$4),Ciudadano_2,MATCH(AN$3,Ciudadano!$F$23:$O$23,0),0)),"")</f>
        <v>1</v>
      </c>
      <c r="AO46">
        <f>+IFERROR(IF(ISBLANK(VLOOKUP(CONCATENATE($F46,"_",AO$4),Ciudadano_2,MATCH(AO$3,Ciudadano!$F$23:$O$23,0),0)),"",VLOOKUP(CONCATENATE($F46,"_",AO$4),Ciudadano_2,MATCH(AO$3,Ciudadano!$F$23:$O$23,0),0)),"")</f>
        <v>1</v>
      </c>
      <c r="AP46" t="str">
        <f>+IFERROR(IF(ISBLANK(VLOOKUP(CONCATENATE($F46,"_",AP$4),Ciudadano_2,MATCH(AP$3,Ciudadano!$F$23:$O$23,0),0)),"",VLOOKUP(CONCATENATE($F46,"_",AP$4),Ciudadano_2,MATCH(AP$3,Ciudadano!$F$23:$O$23,0),0)),"")</f>
        <v>De acuerdo al cronograma de reporte de Políticas Públicas, el 30 de abril de 2020 se envió reporte de avance con corte al 31 de diciembre de 2019, a la Secretaría Distrital de Planeación.</v>
      </c>
      <c r="AQ46" t="str">
        <f>+IFERROR(IF(ISBLANK(VLOOKUP(CONCATENATE($F46,"_",AQ$4),Ciudadano_2,MATCH(AQ$3,Ciudadano!$F$23:$O$23,0),0)),"",VLOOKUP(CONCATENATE($F46,"_",AQ$4),Ciudadano_2,MATCH(AQ$3,Ciudadano!$F$23:$O$23,0),0)),"")</f>
        <v>N/A</v>
      </c>
      <c r="AR46" t="str">
        <f>+IFERROR(IF(ISBLANK(VLOOKUP(CONCATENATE($F46,"_",AR$4),Ciudadano_2,MATCH(AR$3,Ciudadano!$F$23:$O$23,0),0)),"",VLOOKUP(CONCATENATE($F46,"_",AR$4),Ciudadano_2,MATCH(AR$3,Ciudadano!$F$23:$O$23,0),0)),"")</f>
        <v>Entregar  la información de avance y cumplimiento del Plan de Acción de la PPDSC; lo cual constituye información oficial que puede ser de conocimiento de la ciudadanía, asi como de todas las entidades y entes de control que lo requieran</v>
      </c>
      <c r="AS46">
        <f>+IFERROR(IF(ISBLANK(VLOOKUP(CONCATENATE($F46,"_",AS$4),Ciudadano_2,MATCH(AS$3,Ciudadano!$F$23:$O$23,0),0)),"",VLOOKUP(CONCATENATE($F46,"_",AS$4),Ciudadano_2,MATCH(AS$3,Ciudadano!$F$23:$O$23,0),0)),"")</f>
        <v>0</v>
      </c>
      <c r="AT46">
        <f>+IFERROR(IF(ISBLANK(VLOOKUP(CONCATENATE($F46,"_",AT$4),Ciudadano_2,MATCH(AT$3,Ciudadano!$F$23:$O$23,0),0)),"",VLOOKUP(CONCATENATE($F46,"_",AT$4),Ciudadano_2,MATCH(AT$3,Ciudadano!$F$23:$O$23,0),0)),"")</f>
        <v>0</v>
      </c>
      <c r="AU46">
        <f>+IFERROR(IF(ISBLANK(VLOOKUP(CONCATENATE($F46,"_",AU$4),Ciudadano_2,MATCH(AU$3,Ciudadano!$F$23:$O$23,0),0)),"",VLOOKUP(CONCATENATE($F46,"_",AU$4),Ciudadano_2,MATCH(AU$3,Ciudadano!$F$23:$O$23,0),0)),"")</f>
        <v>0</v>
      </c>
      <c r="AV46" t="str">
        <f>+IFERROR(IF(ISBLANK(VLOOKUP(CONCATENATE($F46,"_",AV$4),Ciudadano_2,MATCH(AV$3,Ciudadano!$F$23:$O$23,0),0)),"",VLOOKUP(CONCATENATE($F46,"_",AV$4),Ciudadano_2,MATCH(AV$3,Ciudadano!$F$23:$O$23,0),0)),"")</f>
        <v>N/A</v>
      </c>
      <c r="AW46" t="str">
        <f>+IFERROR(IF(ISBLANK(VLOOKUP(CONCATENATE($F46,"_",AW$4),Ciudadano_2,MATCH(AW$3,Ciudadano!$F$23:$O$23,0),0)),"",VLOOKUP(CONCATENATE($F46,"_",AW$4),Ciudadano_2,MATCH(AW$3,Ciudadano!$F$23:$O$23,0),0)),"")</f>
        <v>N/A</v>
      </c>
      <c r="AX46">
        <f>+IFERROR(IF(ISBLANK(VLOOKUP(CONCATENATE($F46,"_",AX$4),Ciudadano_2,MATCH(AX$3,Ciudadano!$F$23:$O$23,0),0)),"",VLOOKUP(CONCATENATE($F46,"_",AX$4),Ciudadano_2,MATCH(AX$3,Ciudadano!$F$23:$O$23,0),0)),"")</f>
        <v>0</v>
      </c>
      <c r="AY46">
        <f>+IFERROR(IF(ISBLANK(VLOOKUP(CONCATENATE($F46,"_",AY$4),Ciudadano_2,MATCH(AY$3,Ciudadano!$F$23:$O$23,0),0)),"",VLOOKUP(CONCATENATE($F46,"_",AY$4),Ciudadano_2,MATCH(AY$3,Ciudadano!$F$23:$O$23,0),0)),"")</f>
        <v>0</v>
      </c>
      <c r="AZ46">
        <f>+IFERROR(IF(ISBLANK(VLOOKUP(CONCATENATE($F46,"_",AZ$4),Ciudadano_2,MATCH(AZ$3,Ciudadano!$F$23:$O$23,0),0)),"",VLOOKUP(CONCATENATE($F46,"_",AZ$4),Ciudadano_2,MATCH(AZ$3,Ciudadano!$F$23:$O$23,0),0)),"")</f>
        <v>0</v>
      </c>
      <c r="BA46" t="str">
        <f>+IFERROR(IF(ISBLANK(VLOOKUP(CONCATENATE($F46,"_",BA$4),Ciudadano_2,MATCH(BA$3,Ciudadano!$F$23:$O$23,0),0)),"",VLOOKUP(CONCATENATE($F46,"_",BA$4),Ciudadano_2,MATCH(BA$3,Ciudadano!$F$23:$O$23,0),0)),"")</f>
        <v>N/A</v>
      </c>
      <c r="BB46" t="str">
        <f>+IFERROR(IF(ISBLANK(VLOOKUP(CONCATENATE($F46,"_",BB$4),Ciudadano_2,MATCH(BB$3,Ciudadano!$F$23:$O$23,0),0)),"",VLOOKUP(CONCATENATE($F46,"_",BB$4),Ciudadano_2,MATCH(BB$3,Ciudadano!$F$23:$O$23,0),0)),"")</f>
        <v>N/A</v>
      </c>
      <c r="BC46">
        <f t="shared" si="10"/>
        <v>1</v>
      </c>
      <c r="BD46">
        <f t="shared" si="10"/>
        <v>1</v>
      </c>
      <c r="BE46" s="129" t="str">
        <f>+IFERROR(IF(ISBLANK(VLOOKUP(CONCATENATE($F46,"_",BE$4),P1156_4,MATCH(BE$3,PAAC!$E$19:$M$19,0),0)),"",VLOOKUP(CONCATENATE($F46,"_",BE$4),P1156_4,MATCH(BE$3,PAAC!$E$19:$M$19,0),0)),"")</f>
        <v/>
      </c>
      <c r="BF46" s="129" t="str">
        <f>+IFERROR(IF(ISBLANK(VLOOKUP(CONCATENATE($F46,"_",BF$4),P1156_4,MATCH(BF$3,PAAC!$E$19:$M$19,0),0)),"",VLOOKUP(CONCATENATE($F46,"_",BF$4),P1156_4,MATCH(BF$3,PAAC!$E$19:$M$19,0),0)),"")</f>
        <v/>
      </c>
      <c r="BG46" s="129" t="str">
        <f>+IFERROR(IF(ISBLANK(VLOOKUP(CONCATENATE($F46,"_",BG$4),P1156_4,MATCH(BG$3,PAAC!$E$19:$M$19,0),0)),"",VLOOKUP(CONCATENATE($F46,"_",BG$4),P1156_4,MATCH(BG$3,PAAC!$E$19:$M$19,0),0)),"")</f>
        <v/>
      </c>
      <c r="BH46" s="129" t="str">
        <f>+IFERROR(IF(ISBLANK(VLOOKUP(CONCATENATE($F46,"_",BH$4),P1156_4,MATCH(BH$3,PAAC!$E$19:$M$19,0),0)),"",VLOOKUP(CONCATENATE($F46,"_",BH$4),P1156_4,MATCH(BH$3,PAAC!$E$19:$M$19,0),0)),"")</f>
        <v/>
      </c>
      <c r="BI46" s="129" t="str">
        <f>+IFERROR(IF(ISBLANK(VLOOKUP(CONCATENATE($F46,"_",BI$4),P1156_4,MATCH(BI$3,PAAC!$E$19:$M$19,0),0)),"",VLOOKUP(CONCATENATE($F46,"_",BI$4),P1156_4,MATCH(BI$3,PAAC!$E$19:$M$19,0),0)),"")</f>
        <v/>
      </c>
      <c r="BJ46" s="129" t="str">
        <f>+IFERROR(IF(ISBLANK(VLOOKUP(CONCATENATE($F46,"_",BJ$4),P1156_4,MATCH(BJ$3,PAAC!$E$19:$M$19,0),0)),"",VLOOKUP(CONCATENATE($F46,"_",BJ$4),P1156_4,MATCH(BJ$3,PAAC!$E$19:$M$19,0),0)),"")</f>
        <v/>
      </c>
      <c r="BK46" s="129" t="str">
        <f>+IFERROR(IF(ISBLANK(VLOOKUP(CONCATENATE($F46,"_",BK$4),P1156_4,MATCH(BK$3,PAAC!$E$19:$M$19,0),0)),"",VLOOKUP(CONCATENATE($F46,"_",BK$4),P1156_4,MATCH(BK$3,PAAC!$E$19:$M$19,0),0)),"")</f>
        <v/>
      </c>
      <c r="BL46" s="129" t="str">
        <f>+IFERROR(IF(ISBLANK(VLOOKUP(CONCATENATE($F46,"_",BL$4),P1156_4,MATCH(BL$3,PAAC!$E$19:$M$19,0),0)),"",VLOOKUP(CONCATENATE($F46,"_",BL$4),P1156_4,MATCH(BL$3,PAAC!$E$19:$M$19,0),0)),"")</f>
        <v/>
      </c>
      <c r="BM46" s="129" t="str">
        <f>+IFERROR(IF(ISBLANK(VLOOKUP(CONCATENATE($F46,"_",BM$4),P1156_4,MATCH(BM$3,PAAC!$E$19:$M$19,0),0)),"",VLOOKUP(CONCATENATE($F46,"_",BM$4),P1156_4,MATCH(BM$3,PAAC!$E$19:$M$19,0),0)),"")</f>
        <v/>
      </c>
      <c r="BN46" s="129" t="str">
        <f>+IFERROR(IF(ISBLANK(VLOOKUP(CONCATENATE($F46,"_",BN$4),P1156_4,MATCH(BN$3,PAAC!$E$19:$M$19,0),0)),"",VLOOKUP(CONCATENATE($F46,"_",BN$4),P1156_4,MATCH(BN$3,PAAC!$E$19:$M$19,0),0)),"")</f>
        <v/>
      </c>
      <c r="BO46" s="129" t="str">
        <f>+IFERROR(IF(ISBLANK(VLOOKUP(CONCATENATE($F46,"_",BO$4),P1156_4,MATCH(BO$3,PAAC!$E$19:$M$19,0),0)),"",VLOOKUP(CONCATENATE($F46,"_",BO$4),P1156_4,MATCH(BO$3,PAAC!$E$19:$M$19,0),0)),"")</f>
        <v/>
      </c>
      <c r="BP46" s="129" t="str">
        <f>+IFERROR(IF(ISBLANK(VLOOKUP(CONCATENATE($F46,"_",BP$4),P1156_4,MATCH(BP$3,PAAC!$E$19:$M$19,0),0)),"",VLOOKUP(CONCATENATE($F46,"_",BP$4),P1156_4,MATCH(BP$3,PAAC!$E$19:$M$19,0),0)),"")</f>
        <v/>
      </c>
      <c r="BQ46" s="129" t="str">
        <f>+IFERROR(IF(ISBLANK(VLOOKUP(CONCATENATE($F46,"_",BQ$4),P1156_4,MATCH(BQ$3,PAAC!$E$19:$M$19,0),0)),"",VLOOKUP(CONCATENATE($F46,"_",BQ$4),P1156_4,MATCH(BQ$3,PAAC!$E$19:$M$19,0),0)),"")</f>
        <v/>
      </c>
      <c r="BR46" s="129" t="str">
        <f>+IFERROR(IF(ISBLANK(VLOOKUP(CONCATENATE($F46,"_",BR$4),P1156_4,MATCH(BR$3,PAAC!$E$19:$M$19,0),0)),"",VLOOKUP(CONCATENATE($F46,"_",BR$4),P1156_4,MATCH(BR$3,PAAC!$E$19:$M$19,0),0)),"")</f>
        <v/>
      </c>
      <c r="BS46" s="129" t="str">
        <f>+IFERROR(IF(ISBLANK(VLOOKUP(CONCATENATE($F46,"_",BS$4),P1156_4,MATCH(BS$3,PAAC!$E$19:$M$19,0),0)),"",VLOOKUP(CONCATENATE($F46,"_",BS$4),P1156_4,MATCH(BS$3,PAAC!$E$19:$M$19,0),0)),"")</f>
        <v/>
      </c>
      <c r="BT46" s="129" t="str">
        <f>+IFERROR(IF(ISBLANK(VLOOKUP(CONCATENATE($F46,"_",BT$4),P1156_4,MATCH(BT$3,PAAC!$E$19:$M$19,0),0)),"",VLOOKUP(CONCATENATE($F46,"_",BT$4),P1156_4,MATCH(BT$3,PAAC!$E$19:$M$19,0),0)),"")</f>
        <v/>
      </c>
      <c r="BU46" s="129" t="str">
        <f>+IFERROR(IF(ISBLANK(VLOOKUP(CONCATENATE($F46,"_",BU$4),P1156_4,MATCH(BU$3,PAAC!$E$19:$M$19,0),0)),"",VLOOKUP(CONCATENATE($F46,"_",BU$4),P1156_4,MATCH(BU$3,PAAC!$E$19:$M$19,0),0)),"")</f>
        <v/>
      </c>
      <c r="BV46" s="129" t="str">
        <f>+IFERROR(IF(ISBLANK(VLOOKUP(CONCATENATE($F46,"_",BV$4),P1156_4,MATCH(BV$3,PAAC!$E$19:$M$19,0),0)),"",VLOOKUP(CONCATENATE($F46,"_",BV$4),P1156_4,MATCH(BV$3,PAAC!$E$19:$M$19,0),0)),"")</f>
        <v/>
      </c>
      <c r="BW46" s="129" t="str">
        <f>+IFERROR(IF(ISBLANK(VLOOKUP(CONCATENATE($F46,"_",BW$4),P1156_4,MATCH(BW$3,PAAC!$E$19:$M$19,0),0)),"",VLOOKUP(CONCATENATE($F46,"_",BW$4),P1156_4,MATCH(BW$3,PAAC!$E$19:$M$19,0),0)),"")</f>
        <v/>
      </c>
      <c r="BX46" s="129" t="str">
        <f>+IFERROR(IF(ISBLANK(VLOOKUP(CONCATENATE($F46,"_",BX$4),P1156_4,MATCH(BX$3,PAAC!$E$19:$M$19,0),0)),"",VLOOKUP(CONCATENATE($F46,"_",BX$4),P1156_4,MATCH(BX$3,PAAC!$E$19:$M$19,0),0)),"")</f>
        <v/>
      </c>
      <c r="BY46" s="129" t="str">
        <f>+IFERROR(IF(ISBLANK(VLOOKUP(CONCATENATE($F46,"_",BY$4),P1156_4,MATCH(BY$3,PAAC!$E$19:$M$19,0),0)),"",VLOOKUP(CONCATENATE($F46,"_",BY$4),P1156_4,MATCH(BY$3,PAAC!$E$19:$M$19,0),0)),"")</f>
        <v/>
      </c>
      <c r="BZ46" s="129" t="str">
        <f>+IFERROR(IF(ISBLANK(VLOOKUP(CONCATENATE($F46,"_",BZ$4),P1156_4,MATCH(BZ$3,PAAC!$E$19:$M$19,0),0)),"",VLOOKUP(CONCATENATE($F46,"_",BZ$4),P1156_4,MATCH(BZ$3,PAAC!$E$19:$M$19,0),0)),"")</f>
        <v/>
      </c>
      <c r="CA46" s="129" t="str">
        <f>+IFERROR(IF(ISBLANK(VLOOKUP(CONCATENATE($F46,"_",CA$4),P1156_4,MATCH(CA$3,PAAC!$E$19:$M$19,0),0)),"",VLOOKUP(CONCATENATE($F46,"_",CA$4),P1156_4,MATCH(CA$3,PAAC!$E$19:$M$19,0),0)),"")</f>
        <v/>
      </c>
      <c r="CB46" s="129" t="str">
        <f>+IFERROR(IF(ISBLANK(VLOOKUP(CONCATENATE($F46,"_",CB$4),P1156_4,MATCH(CB$3,PAAC!$E$19:$M$19,0),0)),"",VLOOKUP(CONCATENATE($F46,"_",CB$4),P1156_4,MATCH(CB$3,PAAC!$E$19:$M$19,0),0)),"")</f>
        <v/>
      </c>
      <c r="CC46" s="129" t="str">
        <f>+IFERROR(IF(ISBLANK(VLOOKUP(CONCATENATE($F46,"_",CC$4),P1156_4,MATCH(CC$3,PAAC!$E$19:$M$19,0),0)),"",VLOOKUP(CONCATENATE($F46,"_",CC$4),P1156_4,MATCH(CC$3,PAAC!$E$19:$M$19,0),0)),"")</f>
        <v/>
      </c>
      <c r="CD46" s="129" t="str">
        <f t="shared" si="11"/>
        <v/>
      </c>
      <c r="CE46" s="129" t="str">
        <f t="shared" si="3"/>
        <v/>
      </c>
      <c r="CF46" s="129" t="str">
        <f t="shared" si="4"/>
        <v/>
      </c>
      <c r="CG46" s="129" t="str">
        <f t="shared" si="5"/>
        <v/>
      </c>
      <c r="CH46" s="129" t="str">
        <f t="shared" si="6"/>
        <v/>
      </c>
      <c r="CI46" t="str">
        <f t="shared" ref="CI46:CR55" si="36">+VLOOKUP($F46,Ciudadano_R,CI$4,0)</f>
        <v>Cumple</v>
      </c>
      <c r="CJ46" t="str">
        <f t="shared" si="36"/>
        <v>Anticipado</v>
      </c>
      <c r="CK46" t="str">
        <f t="shared" si="36"/>
        <v>Adecuado</v>
      </c>
      <c r="CL46" t="str">
        <f t="shared" si="36"/>
        <v>Coherente</v>
      </c>
      <c r="CM46" t="str">
        <f t="shared" si="36"/>
        <v>Concuerda</v>
      </c>
      <c r="CN46" t="str">
        <f t="shared" si="36"/>
        <v>Concuerda</v>
      </c>
      <c r="CO46">
        <f t="shared" si="36"/>
        <v>0</v>
      </c>
      <c r="CP46" t="str">
        <f t="shared" si="36"/>
        <v>Adecuado</v>
      </c>
      <c r="CQ46" t="str">
        <f t="shared" si="36"/>
        <v>Oportuna</v>
      </c>
      <c r="CR46" t="str">
        <f t="shared" si="36"/>
        <v>Ninguna</v>
      </c>
      <c r="CS46" t="str">
        <f t="shared" ref="CS46:DB55" si="37">+VLOOKUP($F46,Ciudadano_R,CS$4,0)</f>
        <v>Marcela Andrea García Guerrero</v>
      </c>
      <c r="CT46" t="str">
        <f t="shared" si="37"/>
        <v>No aplica</v>
      </c>
      <c r="CU46" t="str">
        <f t="shared" si="37"/>
        <v>Cumplido</v>
      </c>
      <c r="CV46" t="str">
        <f t="shared" si="37"/>
        <v>No aplica</v>
      </c>
      <c r="CW46" t="str">
        <f t="shared" si="37"/>
        <v>No aplica</v>
      </c>
      <c r="CX46" t="str">
        <f t="shared" si="37"/>
        <v>No aplica</v>
      </c>
      <c r="CY46" t="str">
        <f t="shared" si="37"/>
        <v>No aplica</v>
      </c>
      <c r="CZ46">
        <f t="shared" si="37"/>
        <v>0</v>
      </c>
      <c r="DA46" t="str">
        <f t="shared" si="37"/>
        <v>No aplica</v>
      </c>
      <c r="DB46" t="str">
        <f t="shared" si="37"/>
        <v>Oportuna</v>
      </c>
      <c r="DC46" t="str">
        <f t="shared" ref="DC46:DL55" si="38">+VLOOKUP($F46,Ciudadano_R,DC$4,0)</f>
        <v>Este indicador fue reportado como cumplido anticipadamente en el mes de abril de 2020.</v>
      </c>
      <c r="DD46" t="str">
        <f t="shared" si="38"/>
        <v>Marcela Andrea García Guerrero</v>
      </c>
      <c r="DE46" t="e">
        <f t="shared" si="38"/>
        <v>#REF!</v>
      </c>
      <c r="DF46" t="e">
        <f t="shared" si="38"/>
        <v>#REF!</v>
      </c>
      <c r="DG46" t="e">
        <f t="shared" si="38"/>
        <v>#REF!</v>
      </c>
      <c r="DH46" t="e">
        <f t="shared" si="38"/>
        <v>#REF!</v>
      </c>
      <c r="DI46" t="e">
        <f t="shared" si="38"/>
        <v>#REF!</v>
      </c>
      <c r="DJ46" t="e">
        <f t="shared" si="38"/>
        <v>#REF!</v>
      </c>
      <c r="DK46" t="e">
        <f t="shared" si="38"/>
        <v>#REF!</v>
      </c>
      <c r="DL46" t="e">
        <f t="shared" si="38"/>
        <v>#REF!</v>
      </c>
      <c r="DM46" t="e">
        <f t="shared" ref="DM46:DX55" si="39">+VLOOKUP($F46,Ciudadano_R,DM$4,0)</f>
        <v>#REF!</v>
      </c>
      <c r="DN46" t="e">
        <f t="shared" si="39"/>
        <v>#REF!</v>
      </c>
      <c r="DO46" t="e">
        <f t="shared" si="39"/>
        <v>#REF!</v>
      </c>
      <c r="DP46" t="e">
        <f t="shared" si="39"/>
        <v>#REF!</v>
      </c>
      <c r="DQ46" t="e">
        <f t="shared" si="39"/>
        <v>#REF!</v>
      </c>
      <c r="DR46" t="e">
        <f t="shared" si="39"/>
        <v>#REF!</v>
      </c>
      <c r="DS46" t="e">
        <f t="shared" si="39"/>
        <v>#REF!</v>
      </c>
      <c r="DT46" t="e">
        <f t="shared" si="39"/>
        <v>#REF!</v>
      </c>
      <c r="DU46" t="e">
        <f t="shared" si="39"/>
        <v>#REF!</v>
      </c>
      <c r="DV46" t="e">
        <f t="shared" si="39"/>
        <v>#REF!</v>
      </c>
      <c r="DW46" t="e">
        <f t="shared" si="39"/>
        <v>#REF!</v>
      </c>
      <c r="DX46" t="e">
        <f t="shared" si="39"/>
        <v>#REF!</v>
      </c>
    </row>
    <row r="47" spans="1:128" x14ac:dyDescent="0.3">
      <c r="A47" s="423" t="str">
        <f t="shared" si="16"/>
        <v>78A</v>
      </c>
      <c r="B47" t="str">
        <f t="shared" si="17"/>
        <v>2_Subsecretaría de Servicio a la Ciudadanía</v>
      </c>
      <c r="C47">
        <f t="shared" si="8"/>
        <v>2</v>
      </c>
      <c r="D47" t="str">
        <f t="shared" si="0"/>
        <v>Subsecretaría de Servicio a la Ciudadanía</v>
      </c>
      <c r="E47" t="str">
        <f t="shared" si="1"/>
        <v>sci</v>
      </c>
      <c r="F47" s="208" t="str">
        <f>Ciudadano!D11</f>
        <v>78A</v>
      </c>
      <c r="G47" t="str">
        <f t="shared" si="30"/>
        <v>Creciente</v>
      </c>
      <c r="H47" t="str">
        <f t="shared" si="30"/>
        <v>Porcentaje</v>
      </c>
      <c r="I47">
        <f t="shared" si="30"/>
        <v>0.5</v>
      </c>
      <c r="J47">
        <f t="shared" si="30"/>
        <v>1</v>
      </c>
      <c r="K47" t="str">
        <f>+IFERROR(VLOOKUP($F47,Ciudadano_1,MATCH(K$5,Ciudadano!$D$9:$V$9,0),0),"")</f>
        <v>Suma</v>
      </c>
      <c r="L47">
        <f>+IFERROR(VLOOKUP($F47,Ciudadano_1,MATCH(L$5,Ciudadano!$D$9:$V$9,0),0),"")</f>
        <v>0</v>
      </c>
      <c r="M47">
        <f t="shared" ref="M47:M69" si="40">+IFERROR(SUM(N47:P47),"")</f>
        <v>0</v>
      </c>
      <c r="N47">
        <f>+IFERROR(VLOOKUP($F47,Ciudadano_1,MATCH(N$5,Ciudadano!$D$9:$V$9,0),0),"")</f>
        <v>0</v>
      </c>
      <c r="O47">
        <f>+IFERROR(VLOOKUP($F47,Ciudadano_1,MATCH(O$5,Ciudadano!$D$9:$V$9,0),0),"")</f>
        <v>0</v>
      </c>
      <c r="P47">
        <f>+IFERROR(VLOOKUP($F47,Ciudadano_1,MATCH(P$5,Ciudadano!$D$9:$V$9,0),0),"")</f>
        <v>0</v>
      </c>
      <c r="Q47">
        <f>+IFERROR(VLOOKUP($F47,Ciudadano_1,MATCH(Q$5,Ciudadano!$D$9:$V$9,0),0),"")</f>
        <v>0</v>
      </c>
      <c r="R47">
        <f>+IFERROR(VLOOKUP($F47,Ciudadano_1,MATCH(R$5,Ciudadano!$D$9:$V$9,0),0),"")</f>
        <v>0</v>
      </c>
      <c r="S47">
        <f>+IFERROR(VLOOKUP($F47,Ciudadano_1,MATCH(S$5,Ciudadano!$D$9:$V$9,0),0),"")</f>
        <v>0</v>
      </c>
      <c r="T47" t="str">
        <f>+IFERROR(VLOOKUP($F47,Ciudadano_1,MATCH(T$5,Ciudadano!$D$9:$V$9,0),0),"")</f>
        <v>No Disponible / No Aplica</v>
      </c>
      <c r="U47" t="str">
        <f>+IFERROR(VLOOKUP($F47,Ciudadano_1,MATCH(U$5,Ciudadano!$D$9:$V$9,0),0),"")</f>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v>
      </c>
      <c r="V47" t="str">
        <f>+IFERROR(VLOOKUP($F47,Ciudadano_1,MATCH(V$5,Ciudadano!$D$9:$V$9,0),0),"")</f>
        <v xml:space="preserve">Gestionar el proceso de optimización Guía de Trámites y Servicios con información estructurada completamente operativa para facilitar su consulta por parte de la ciudadanía </v>
      </c>
      <c r="W47" t="str">
        <f>+IFERROR(VLOOKUP($F47,Ciudadano_1,MATCH(W$5,Ciudadano!$D$9:$V$9,0),0),"")</f>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
      <c r="X47" t="str">
        <f>+IFERROR(VLOOKUP($F47,Ciudadano_1,MATCH(X$5,Ciudadano!$D$9:$V$9,0),0),"")</f>
        <v>No aplica</v>
      </c>
      <c r="Y47">
        <f>+IFERROR(IF(ISBLANK(VLOOKUP(CONCATENATE($F47,"_",Y$4),Ciudadano_2,MATCH(Y$3,Ciudadano!$F$23:$O$23,0),0)),"",VLOOKUP(CONCATENATE($F47,"_",Y$4),Ciudadano_2,MATCH(Y$3,Ciudadano!$F$23:$O$23,0),0)),"")</f>
        <v>0</v>
      </c>
      <c r="Z47">
        <f>+IFERROR(IF(ISBLANK(VLOOKUP(CONCATENATE($F47,"_",Z$4),Ciudadano_2,MATCH(Z$3,Ciudadano!$F$23:$O$23,0),0)),"",VLOOKUP(CONCATENATE($F47,"_",Z$4),Ciudadano_2,MATCH(Z$3,Ciudadano!$F$23:$O$23,0),0)),"")</f>
        <v>0</v>
      </c>
      <c r="AA47" t="str">
        <f>+IFERROR(IF(ISBLANK(VLOOKUP(CONCATENATE($F47,"_",AA$4),Ciudadano_2,MATCH(AA$3,Ciudadano!$F$23:$O$23,0),0)),"",VLOOKUP(CONCATENATE($F47,"_",AA$4),Ciudadano_2,MATCH(AA$3,Ciudadano!$F$23:$O$23,0),0)),"")</f>
        <v>Mediante memorando 3-2020-9831 del 28 de abril de 2020, se informó que este indicador no tendría programación para la vigencia 2020</v>
      </c>
      <c r="AB47" t="str">
        <f>+IFERROR(IF(ISBLANK(VLOOKUP(CONCATENATE($F47,"_",AB$4),Ciudadano_2,MATCH(AB$3,Ciudadano!$F$23:$O$23,0),0)),"",VLOOKUP(CONCATENATE($F47,"_",AB$4),Ciudadano_2,MATCH(AB$3,Ciudadano!$F$23:$O$23,0),0)),"")</f>
        <v>N/A</v>
      </c>
      <c r="AC47" t="str">
        <f>+IFERROR(IF(ISBLANK(VLOOKUP(CONCATENATE($F47,"_",AC$4),Ciudadano_2,MATCH(AC$3,Ciudadano!$F$23:$O$23,0),0)),"",VLOOKUP(CONCATENATE($F47,"_",AC$4),Ciudadano_2,MATCH(AC$3,Ciudadano!$F$23:$O$23,0),0)),"")</f>
        <v>N/A</v>
      </c>
      <c r="AD47">
        <f>+IFERROR(IF(ISBLANK(VLOOKUP(CONCATENATE($F47,"_",AD$4),Ciudadano_2,MATCH(AD$3,Ciudadano!$F$23:$O$23,0),0)),"",VLOOKUP(CONCATENATE($F47,"_",AD$4),Ciudadano_2,MATCH(AD$3,Ciudadano!$F$23:$O$23,0),0)),"")</f>
        <v>0</v>
      </c>
      <c r="AE47">
        <f>+IFERROR(IF(ISBLANK(VLOOKUP(CONCATENATE($F47,"_",AE$4),Ciudadano_2,MATCH(AE$3,Ciudadano!$F$23:$O$23,0),0)),"",VLOOKUP(CONCATENATE($F47,"_",AE$4),Ciudadano_2,MATCH(AE$3,Ciudadano!$F$23:$O$23,0),0)),"")</f>
        <v>0</v>
      </c>
      <c r="AF47" t="str">
        <f>+IFERROR(IF(ISBLANK(VLOOKUP(CONCATENATE($F47,"_",AF$4),Ciudadano_2,MATCH(AF$3,Ciudadano!$F$23:$O$23,0),0)),"",VLOOKUP(CONCATENATE($F47,"_",AF$4),Ciudadano_2,MATCH(AF$3,Ciudadano!$F$23:$O$23,0),0)),"")</f>
        <v>Mediante memorando 3-2020-9831 del 28 de abril de 2020, se informó que este indicador no tendría programación para la vigencia 2020</v>
      </c>
      <c r="AG47" t="str">
        <f>+IFERROR(IF(ISBLANK(VLOOKUP(CONCATENATE($F47,"_",AG$4),Ciudadano_2,MATCH(AG$3,Ciudadano!$F$23:$O$23,0),0)),"",VLOOKUP(CONCATENATE($F47,"_",AG$4),Ciudadano_2,MATCH(AG$3,Ciudadano!$F$23:$O$23,0),0)),"")</f>
        <v>N/A</v>
      </c>
      <c r="AH47" t="str">
        <f>+IFERROR(IF(ISBLANK(VLOOKUP(CONCATENATE($F47,"_",AH$4),Ciudadano_2,MATCH(AH$3,Ciudadano!$F$23:$O$23,0),0)),"",VLOOKUP(CONCATENATE($F47,"_",AH$4),Ciudadano_2,MATCH(AH$3,Ciudadano!$F$23:$O$23,0),0)),"")</f>
        <v>N/A</v>
      </c>
      <c r="AI47">
        <f>+IFERROR(IF(ISBLANK(VLOOKUP(CONCATENATE($F47,"_",AI$4),Ciudadano_2,MATCH(AI$3,Ciudadano!$F$23:$O$23,0),0)),"",VLOOKUP(CONCATENATE($F47,"_",AI$4),Ciudadano_2,MATCH(AI$3,Ciudadano!$F$23:$O$23,0),0)),"")</f>
        <v>0</v>
      </c>
      <c r="AJ47">
        <f>+IFERROR(IF(ISBLANK(VLOOKUP(CONCATENATE($F47,"_",AJ$4),Ciudadano_2,MATCH(AJ$3,Ciudadano!$F$23:$O$23,0),0)),"",VLOOKUP(CONCATENATE($F47,"_",AJ$4),Ciudadano_2,MATCH(AJ$3,Ciudadano!$F$23:$O$23,0),0)),"")</f>
        <v>0</v>
      </c>
      <c r="AK47" t="str">
        <f>+IFERROR(IF(ISBLANK(VLOOKUP(CONCATENATE($F47,"_",AK$4),Ciudadano_2,MATCH(AK$3,Ciudadano!$F$23:$O$23,0),0)),"",VLOOKUP(CONCATENATE($F47,"_",AK$4),Ciudadano_2,MATCH(AK$3,Ciudadano!$F$23:$O$23,0),0)),"")</f>
        <v>Mediante memorando 3-2020-9831 del 28 de abril de 2020, se informó que este indicador no tendría programación para la vigencia 2020</v>
      </c>
      <c r="AL47" t="str">
        <f>+IFERROR(IF(ISBLANK(VLOOKUP(CONCATENATE($F47,"_",AL$4),Ciudadano_2,MATCH(AL$3,Ciudadano!$F$23:$O$23,0),0)),"",VLOOKUP(CONCATENATE($F47,"_",AL$4),Ciudadano_2,MATCH(AL$3,Ciudadano!$F$23:$O$23,0),0)),"")</f>
        <v>N/A</v>
      </c>
      <c r="AM47" t="str">
        <f>+IFERROR(IF(ISBLANK(VLOOKUP(CONCATENATE($F47,"_",AM$4),Ciudadano_2,MATCH(AM$3,Ciudadano!$F$23:$O$23,0),0)),"",VLOOKUP(CONCATENATE($F47,"_",AM$4),Ciudadano_2,MATCH(AM$3,Ciudadano!$F$23:$O$23,0),0)),"")</f>
        <v>N/A</v>
      </c>
      <c r="AN47">
        <f>+IFERROR(IF(ISBLANK(VLOOKUP(CONCATENATE($F47,"_",AN$4),Ciudadano_2,MATCH(AN$3,Ciudadano!$F$23:$O$23,0),0)),"",VLOOKUP(CONCATENATE($F47,"_",AN$4),Ciudadano_2,MATCH(AN$3,Ciudadano!$F$23:$O$23,0),0)),"")</f>
        <v>0</v>
      </c>
      <c r="AO47">
        <f>+IFERROR(IF(ISBLANK(VLOOKUP(CONCATENATE($F47,"_",AO$4),Ciudadano_2,MATCH(AO$3,Ciudadano!$F$23:$O$23,0),0)),"",VLOOKUP(CONCATENATE($F47,"_",AO$4),Ciudadano_2,MATCH(AO$3,Ciudadano!$F$23:$O$23,0),0)),"")</f>
        <v>0</v>
      </c>
      <c r="AP47" t="str">
        <f>+IFERROR(IF(ISBLANK(VLOOKUP(CONCATENATE($F47,"_",AP$4),Ciudadano_2,MATCH(AP$3,Ciudadano!$F$23:$O$23,0),0)),"",VLOOKUP(CONCATENATE($F47,"_",AP$4),Ciudadano_2,MATCH(AP$3,Ciudadano!$F$23:$O$23,0),0)),"")</f>
        <v>Mediante memorando 3-2020-9831 del 28 de abril de 2020, se informó que este indicador no tendría programación para la vigencia 2020</v>
      </c>
      <c r="AQ47" t="str">
        <f>+IFERROR(IF(ISBLANK(VLOOKUP(CONCATENATE($F47,"_",AQ$4),Ciudadano_2,MATCH(AQ$3,Ciudadano!$F$23:$O$23,0),0)),"",VLOOKUP(CONCATENATE($F47,"_",AQ$4),Ciudadano_2,MATCH(AQ$3,Ciudadano!$F$23:$O$23,0),0)),"")</f>
        <v>N/A</v>
      </c>
      <c r="AR47" t="str">
        <f>+IFERROR(IF(ISBLANK(VLOOKUP(CONCATENATE($F47,"_",AR$4),Ciudadano_2,MATCH(AR$3,Ciudadano!$F$23:$O$23,0),0)),"",VLOOKUP(CONCATENATE($F47,"_",AR$4),Ciudadano_2,MATCH(AR$3,Ciudadano!$F$23:$O$23,0),0)),"")</f>
        <v>N/A</v>
      </c>
      <c r="AS47">
        <f>+IFERROR(IF(ISBLANK(VLOOKUP(CONCATENATE($F47,"_",AS$4),Ciudadano_2,MATCH(AS$3,Ciudadano!$F$23:$O$23,0),0)),"",VLOOKUP(CONCATENATE($F47,"_",AS$4),Ciudadano_2,MATCH(AS$3,Ciudadano!$F$23:$O$23,0),0)),"")</f>
        <v>0</v>
      </c>
      <c r="AT47">
        <f>+IFERROR(IF(ISBLANK(VLOOKUP(CONCATENATE($F47,"_",AT$4),Ciudadano_2,MATCH(AT$3,Ciudadano!$F$23:$O$23,0),0)),"",VLOOKUP(CONCATENATE($F47,"_",AT$4),Ciudadano_2,MATCH(AT$3,Ciudadano!$F$23:$O$23,0),0)),"")</f>
        <v>0</v>
      </c>
      <c r="AU47" t="str">
        <f>+IFERROR(IF(ISBLANK(VLOOKUP(CONCATENATE($F47,"_",AU$4),Ciudadano_2,MATCH(AU$3,Ciudadano!$F$23:$O$23,0),0)),"",VLOOKUP(CONCATENATE($F47,"_",AU$4),Ciudadano_2,MATCH(AU$3,Ciudadano!$F$23:$O$23,0),0)),"")</f>
        <v>Mediante memorando 3-2020-9831 del 28 de abril de 2020, se informó que este indicador no tendría programación para la vigencia 2020</v>
      </c>
      <c r="AV47" t="str">
        <f>+IFERROR(IF(ISBLANK(VLOOKUP(CONCATENATE($F47,"_",AV$4),Ciudadano_2,MATCH(AV$3,Ciudadano!$F$23:$O$23,0),0)),"",VLOOKUP(CONCATENATE($F47,"_",AV$4),Ciudadano_2,MATCH(AV$3,Ciudadano!$F$23:$O$23,0),0)),"")</f>
        <v>N/A</v>
      </c>
      <c r="AW47" t="str">
        <f>+IFERROR(IF(ISBLANK(VLOOKUP(CONCATENATE($F47,"_",AW$4),Ciudadano_2,MATCH(AW$3,Ciudadano!$F$23:$O$23,0),0)),"",VLOOKUP(CONCATENATE($F47,"_",AW$4),Ciudadano_2,MATCH(AW$3,Ciudadano!$F$23:$O$23,0),0)),"")</f>
        <v>N/A</v>
      </c>
      <c r="AX47">
        <f>+IFERROR(IF(ISBLANK(VLOOKUP(CONCATENATE($F47,"_",AX$4),Ciudadano_2,MATCH(AX$3,Ciudadano!$F$23:$O$23,0),0)),"",VLOOKUP(CONCATENATE($F47,"_",AX$4),Ciudadano_2,MATCH(AX$3,Ciudadano!$F$23:$O$23,0),0)),"")</f>
        <v>0</v>
      </c>
      <c r="AY47">
        <f>+IFERROR(IF(ISBLANK(VLOOKUP(CONCATENATE($F47,"_",AY$4),Ciudadano_2,MATCH(AY$3,Ciudadano!$F$23:$O$23,0),0)),"",VLOOKUP(CONCATENATE($F47,"_",AY$4),Ciudadano_2,MATCH(AY$3,Ciudadano!$F$23:$O$23,0),0)),"")</f>
        <v>0</v>
      </c>
      <c r="AZ47" t="str">
        <f>+IFERROR(IF(ISBLANK(VLOOKUP(CONCATENATE($F47,"_",AZ$4),Ciudadano_2,MATCH(AZ$3,Ciudadano!$F$23:$O$23,0),0)),"",VLOOKUP(CONCATENATE($F47,"_",AZ$4),Ciudadano_2,MATCH(AZ$3,Ciudadano!$F$23:$O$23,0),0)),"")</f>
        <v>Mediante memorando 3-2020-9831 del 28 de abril de 2020, se informó que este indicador no tendría programación para la vigencia 2020</v>
      </c>
      <c r="BA47" t="str">
        <f>+IFERROR(IF(ISBLANK(VLOOKUP(CONCATENATE($F47,"_",BA$4),Ciudadano_2,MATCH(BA$3,Ciudadano!$F$23:$O$23,0),0)),"",VLOOKUP(CONCATENATE($F47,"_",BA$4),Ciudadano_2,MATCH(BA$3,Ciudadano!$F$23:$O$23,0),0)),"")</f>
        <v>N/A</v>
      </c>
      <c r="BB47" t="str">
        <f>+IFERROR(IF(ISBLANK(VLOOKUP(CONCATENATE($F47,"_",BB$4),Ciudadano_2,MATCH(BB$3,Ciudadano!$F$23:$O$23,0),0)),"",VLOOKUP(CONCATENATE($F47,"_",BB$4),Ciudadano_2,MATCH(BB$3,Ciudadano!$F$23:$O$23,0),0)),"")</f>
        <v>N/A</v>
      </c>
      <c r="BC47">
        <f t="shared" si="10"/>
        <v>0</v>
      </c>
      <c r="BD47">
        <f t="shared" si="10"/>
        <v>0</v>
      </c>
      <c r="BE47" s="129" t="str">
        <f>+IFERROR(IF(ISBLANK(VLOOKUP(CONCATENATE($F47,"_",BE$4),P1156_4,MATCH(BE$3,PAAC!$E$19:$M$19,0),0)),"",VLOOKUP(CONCATENATE($F47,"_",BE$4),P1156_4,MATCH(BE$3,PAAC!$E$19:$M$19,0),0)),"")</f>
        <v/>
      </c>
      <c r="BF47" s="129" t="str">
        <f>+IFERROR(IF(ISBLANK(VLOOKUP(CONCATENATE($F47,"_",BF$4),P1156_4,MATCH(BF$3,PAAC!$E$19:$M$19,0),0)),"",VLOOKUP(CONCATENATE($F47,"_",BF$4),P1156_4,MATCH(BF$3,PAAC!$E$19:$M$19,0),0)),"")</f>
        <v/>
      </c>
      <c r="BG47" s="129" t="str">
        <f>+IFERROR(IF(ISBLANK(VLOOKUP(CONCATENATE($F47,"_",BG$4),P1156_4,MATCH(BG$3,PAAC!$E$19:$M$19,0),0)),"",VLOOKUP(CONCATENATE($F47,"_",BG$4),P1156_4,MATCH(BG$3,PAAC!$E$19:$M$19,0),0)),"")</f>
        <v/>
      </c>
      <c r="BH47" s="129" t="str">
        <f>+IFERROR(IF(ISBLANK(VLOOKUP(CONCATENATE($F47,"_",BH$4),P1156_4,MATCH(BH$3,PAAC!$E$19:$M$19,0),0)),"",VLOOKUP(CONCATENATE($F47,"_",BH$4),P1156_4,MATCH(BH$3,PAAC!$E$19:$M$19,0),0)),"")</f>
        <v/>
      </c>
      <c r="BI47" s="129" t="str">
        <f>+IFERROR(IF(ISBLANK(VLOOKUP(CONCATENATE($F47,"_",BI$4),P1156_4,MATCH(BI$3,PAAC!$E$19:$M$19,0),0)),"",VLOOKUP(CONCATENATE($F47,"_",BI$4),P1156_4,MATCH(BI$3,PAAC!$E$19:$M$19,0),0)),"")</f>
        <v/>
      </c>
      <c r="BJ47" s="129" t="str">
        <f>+IFERROR(IF(ISBLANK(VLOOKUP(CONCATENATE($F47,"_",BJ$4),P1156_4,MATCH(BJ$3,PAAC!$E$19:$M$19,0),0)),"",VLOOKUP(CONCATENATE($F47,"_",BJ$4),P1156_4,MATCH(BJ$3,PAAC!$E$19:$M$19,0),0)),"")</f>
        <v/>
      </c>
      <c r="BK47" s="129" t="str">
        <f>+IFERROR(IF(ISBLANK(VLOOKUP(CONCATENATE($F47,"_",BK$4),P1156_4,MATCH(BK$3,PAAC!$E$19:$M$19,0),0)),"",VLOOKUP(CONCATENATE($F47,"_",BK$4),P1156_4,MATCH(BK$3,PAAC!$E$19:$M$19,0),0)),"")</f>
        <v/>
      </c>
      <c r="BL47" s="129" t="str">
        <f>+IFERROR(IF(ISBLANK(VLOOKUP(CONCATENATE($F47,"_",BL$4),P1156_4,MATCH(BL$3,PAAC!$E$19:$M$19,0),0)),"",VLOOKUP(CONCATENATE($F47,"_",BL$4),P1156_4,MATCH(BL$3,PAAC!$E$19:$M$19,0),0)),"")</f>
        <v/>
      </c>
      <c r="BM47" s="129" t="str">
        <f>+IFERROR(IF(ISBLANK(VLOOKUP(CONCATENATE($F47,"_",BM$4),P1156_4,MATCH(BM$3,PAAC!$E$19:$M$19,0),0)),"",VLOOKUP(CONCATENATE($F47,"_",BM$4),P1156_4,MATCH(BM$3,PAAC!$E$19:$M$19,0),0)),"")</f>
        <v/>
      </c>
      <c r="BN47" s="129" t="str">
        <f>+IFERROR(IF(ISBLANK(VLOOKUP(CONCATENATE($F47,"_",BN$4),P1156_4,MATCH(BN$3,PAAC!$E$19:$M$19,0),0)),"",VLOOKUP(CONCATENATE($F47,"_",BN$4),P1156_4,MATCH(BN$3,PAAC!$E$19:$M$19,0),0)),"")</f>
        <v/>
      </c>
      <c r="BO47" s="129" t="str">
        <f>+IFERROR(IF(ISBLANK(VLOOKUP(CONCATENATE($F47,"_",BO$4),P1156_4,MATCH(BO$3,PAAC!$E$19:$M$19,0),0)),"",VLOOKUP(CONCATENATE($F47,"_",BO$4),P1156_4,MATCH(BO$3,PAAC!$E$19:$M$19,0),0)),"")</f>
        <v/>
      </c>
      <c r="BP47" s="129" t="str">
        <f>+IFERROR(IF(ISBLANK(VLOOKUP(CONCATENATE($F47,"_",BP$4),P1156_4,MATCH(BP$3,PAAC!$E$19:$M$19,0),0)),"",VLOOKUP(CONCATENATE($F47,"_",BP$4),P1156_4,MATCH(BP$3,PAAC!$E$19:$M$19,0),0)),"")</f>
        <v/>
      </c>
      <c r="BQ47" s="129" t="str">
        <f>+IFERROR(IF(ISBLANK(VLOOKUP(CONCATENATE($F47,"_",BQ$4),P1156_4,MATCH(BQ$3,PAAC!$E$19:$M$19,0),0)),"",VLOOKUP(CONCATENATE($F47,"_",BQ$4),P1156_4,MATCH(BQ$3,PAAC!$E$19:$M$19,0),0)),"")</f>
        <v/>
      </c>
      <c r="BR47" s="129" t="str">
        <f>+IFERROR(IF(ISBLANK(VLOOKUP(CONCATENATE($F47,"_",BR$4),P1156_4,MATCH(BR$3,PAAC!$E$19:$M$19,0),0)),"",VLOOKUP(CONCATENATE($F47,"_",BR$4),P1156_4,MATCH(BR$3,PAAC!$E$19:$M$19,0),0)),"")</f>
        <v/>
      </c>
      <c r="BS47" s="129" t="str">
        <f>+IFERROR(IF(ISBLANK(VLOOKUP(CONCATENATE($F47,"_",BS$4),P1156_4,MATCH(BS$3,PAAC!$E$19:$M$19,0),0)),"",VLOOKUP(CONCATENATE($F47,"_",BS$4),P1156_4,MATCH(BS$3,PAAC!$E$19:$M$19,0),0)),"")</f>
        <v/>
      </c>
      <c r="BT47" s="129" t="str">
        <f>+IFERROR(IF(ISBLANK(VLOOKUP(CONCATENATE($F47,"_",BT$4),P1156_4,MATCH(BT$3,PAAC!$E$19:$M$19,0),0)),"",VLOOKUP(CONCATENATE($F47,"_",BT$4),P1156_4,MATCH(BT$3,PAAC!$E$19:$M$19,0),0)),"")</f>
        <v/>
      </c>
      <c r="BU47" s="129" t="str">
        <f>+IFERROR(IF(ISBLANK(VLOOKUP(CONCATENATE($F47,"_",BU$4),P1156_4,MATCH(BU$3,PAAC!$E$19:$M$19,0),0)),"",VLOOKUP(CONCATENATE($F47,"_",BU$4),P1156_4,MATCH(BU$3,PAAC!$E$19:$M$19,0),0)),"")</f>
        <v/>
      </c>
      <c r="BV47" s="129" t="str">
        <f>+IFERROR(IF(ISBLANK(VLOOKUP(CONCATENATE($F47,"_",BV$4),P1156_4,MATCH(BV$3,PAAC!$E$19:$M$19,0),0)),"",VLOOKUP(CONCATENATE($F47,"_",BV$4),P1156_4,MATCH(BV$3,PAAC!$E$19:$M$19,0),0)),"")</f>
        <v/>
      </c>
      <c r="BW47" s="129" t="str">
        <f>+IFERROR(IF(ISBLANK(VLOOKUP(CONCATENATE($F47,"_",BW$4),P1156_4,MATCH(BW$3,PAAC!$E$19:$M$19,0),0)),"",VLOOKUP(CONCATENATE($F47,"_",BW$4),P1156_4,MATCH(BW$3,PAAC!$E$19:$M$19,0),0)),"")</f>
        <v/>
      </c>
      <c r="BX47" s="129" t="str">
        <f>+IFERROR(IF(ISBLANK(VLOOKUP(CONCATENATE($F47,"_",BX$4),P1156_4,MATCH(BX$3,PAAC!$E$19:$M$19,0),0)),"",VLOOKUP(CONCATENATE($F47,"_",BX$4),P1156_4,MATCH(BX$3,PAAC!$E$19:$M$19,0),0)),"")</f>
        <v/>
      </c>
      <c r="BY47" s="129" t="str">
        <f>+IFERROR(IF(ISBLANK(VLOOKUP(CONCATENATE($F47,"_",BY$4),P1156_4,MATCH(BY$3,PAAC!$E$19:$M$19,0),0)),"",VLOOKUP(CONCATENATE($F47,"_",BY$4),P1156_4,MATCH(BY$3,PAAC!$E$19:$M$19,0),0)),"")</f>
        <v/>
      </c>
      <c r="BZ47" s="129" t="str">
        <f>+IFERROR(IF(ISBLANK(VLOOKUP(CONCATENATE($F47,"_",BZ$4),P1156_4,MATCH(BZ$3,PAAC!$E$19:$M$19,0),0)),"",VLOOKUP(CONCATENATE($F47,"_",BZ$4),P1156_4,MATCH(BZ$3,PAAC!$E$19:$M$19,0),0)),"")</f>
        <v/>
      </c>
      <c r="CA47" s="129" t="str">
        <f>+IFERROR(IF(ISBLANK(VLOOKUP(CONCATENATE($F47,"_",CA$4),P1156_4,MATCH(CA$3,PAAC!$E$19:$M$19,0),0)),"",VLOOKUP(CONCATENATE($F47,"_",CA$4),P1156_4,MATCH(CA$3,PAAC!$E$19:$M$19,0),0)),"")</f>
        <v/>
      </c>
      <c r="CB47" s="129" t="str">
        <f>+IFERROR(IF(ISBLANK(VLOOKUP(CONCATENATE($F47,"_",CB$4),P1156_4,MATCH(CB$3,PAAC!$E$19:$M$19,0),0)),"",VLOOKUP(CONCATENATE($F47,"_",CB$4),P1156_4,MATCH(CB$3,PAAC!$E$19:$M$19,0),0)),"")</f>
        <v/>
      </c>
      <c r="CC47" s="129" t="str">
        <f>+IFERROR(IF(ISBLANK(VLOOKUP(CONCATENATE($F47,"_",CC$4),P1156_4,MATCH(CC$3,PAAC!$E$19:$M$19,0),0)),"",VLOOKUP(CONCATENATE($F47,"_",CC$4),P1156_4,MATCH(CC$3,PAAC!$E$19:$M$19,0),0)),"")</f>
        <v/>
      </c>
      <c r="CD47" s="129" t="str">
        <f t="shared" si="11"/>
        <v/>
      </c>
      <c r="CE47" s="129" t="str">
        <f t="shared" si="3"/>
        <v/>
      </c>
      <c r="CF47" s="129" t="str">
        <f t="shared" si="4"/>
        <v/>
      </c>
      <c r="CG47" s="129" t="str">
        <f t="shared" si="5"/>
        <v/>
      </c>
      <c r="CH47" s="129" t="str">
        <f t="shared" si="6"/>
        <v/>
      </c>
      <c r="CI47">
        <f t="shared" si="36"/>
        <v>0</v>
      </c>
      <c r="CJ47">
        <f t="shared" si="36"/>
        <v>0</v>
      </c>
      <c r="CK47">
        <f t="shared" si="36"/>
        <v>0</v>
      </c>
      <c r="CL47">
        <f t="shared" si="36"/>
        <v>0</v>
      </c>
      <c r="CM47">
        <f t="shared" si="36"/>
        <v>0</v>
      </c>
      <c r="CN47">
        <f t="shared" si="36"/>
        <v>0</v>
      </c>
      <c r="CO47">
        <f t="shared" si="36"/>
        <v>0</v>
      </c>
      <c r="CP47">
        <f t="shared" si="36"/>
        <v>0</v>
      </c>
      <c r="CQ47">
        <f t="shared" si="36"/>
        <v>0</v>
      </c>
      <c r="CR47" t="str">
        <f t="shared" si="36"/>
        <v>No aplica</v>
      </c>
      <c r="CS47" t="str">
        <f t="shared" si="37"/>
        <v>Marcela Andrea García Guerrero</v>
      </c>
      <c r="CT47">
        <f t="shared" si="37"/>
        <v>0</v>
      </c>
      <c r="CU47">
        <f t="shared" si="37"/>
        <v>0</v>
      </c>
      <c r="CV47">
        <f t="shared" si="37"/>
        <v>0</v>
      </c>
      <c r="CW47">
        <f t="shared" si="37"/>
        <v>0</v>
      </c>
      <c r="CX47">
        <f t="shared" si="37"/>
        <v>0</v>
      </c>
      <c r="CY47">
        <f t="shared" si="37"/>
        <v>0</v>
      </c>
      <c r="CZ47">
        <f t="shared" si="37"/>
        <v>0</v>
      </c>
      <c r="DA47">
        <f t="shared" si="37"/>
        <v>0</v>
      </c>
      <c r="DB47">
        <f t="shared" si="37"/>
        <v>0</v>
      </c>
      <c r="DC47">
        <f t="shared" si="38"/>
        <v>0</v>
      </c>
      <c r="DD47">
        <f t="shared" si="38"/>
        <v>0</v>
      </c>
      <c r="DE47" t="e">
        <f t="shared" si="38"/>
        <v>#REF!</v>
      </c>
      <c r="DF47" t="e">
        <f t="shared" si="38"/>
        <v>#REF!</v>
      </c>
      <c r="DG47" t="e">
        <f t="shared" si="38"/>
        <v>#REF!</v>
      </c>
      <c r="DH47" t="e">
        <f t="shared" si="38"/>
        <v>#REF!</v>
      </c>
      <c r="DI47" t="e">
        <f t="shared" si="38"/>
        <v>#REF!</v>
      </c>
      <c r="DJ47" t="e">
        <f t="shared" si="38"/>
        <v>#REF!</v>
      </c>
      <c r="DK47" t="e">
        <f t="shared" si="38"/>
        <v>#REF!</v>
      </c>
      <c r="DL47" t="e">
        <f t="shared" si="38"/>
        <v>#REF!</v>
      </c>
      <c r="DM47" t="e">
        <f t="shared" si="39"/>
        <v>#REF!</v>
      </c>
      <c r="DN47" t="e">
        <f t="shared" si="39"/>
        <v>#REF!</v>
      </c>
      <c r="DO47" t="e">
        <f t="shared" si="39"/>
        <v>#REF!</v>
      </c>
      <c r="DP47" t="e">
        <f t="shared" si="39"/>
        <v>#REF!</v>
      </c>
      <c r="DQ47" t="e">
        <f t="shared" si="39"/>
        <v>#REF!</v>
      </c>
      <c r="DR47" t="e">
        <f t="shared" si="39"/>
        <v>#REF!</v>
      </c>
      <c r="DS47" t="e">
        <f t="shared" si="39"/>
        <v>#REF!</v>
      </c>
      <c r="DT47" t="e">
        <f t="shared" si="39"/>
        <v>#REF!</v>
      </c>
      <c r="DU47" t="e">
        <f t="shared" si="39"/>
        <v>#REF!</v>
      </c>
      <c r="DV47" t="e">
        <f t="shared" si="39"/>
        <v>#REF!</v>
      </c>
      <c r="DW47" t="e">
        <f t="shared" si="39"/>
        <v>#REF!</v>
      </c>
      <c r="DX47" t="e">
        <f t="shared" si="39"/>
        <v>#REF!</v>
      </c>
    </row>
    <row r="48" spans="1:128" x14ac:dyDescent="0.3">
      <c r="A48" s="423">
        <f>+F48</f>
        <v>87</v>
      </c>
      <c r="B48" t="str">
        <f>+C48&amp;"_"&amp;D48</f>
        <v>1_Subdirección de Seguimiento a la  Gestión de Inspección, Vigilancia y  Control</v>
      </c>
      <c r="C48">
        <f t="shared" si="8"/>
        <v>1</v>
      </c>
      <c r="D48" t="str">
        <f t="shared" si="0"/>
        <v>Subdirección de Seguimiento a la  Gestión de Inspección, Vigilancia y  Control</v>
      </c>
      <c r="E48" t="str">
        <f>+VLOOKUP(D48,responsables,8,0)</f>
        <v>ivc</v>
      </c>
      <c r="F48" s="208">
        <f>Ciudadano!D12</f>
        <v>87</v>
      </c>
      <c r="G48" t="str">
        <f t="shared" si="30"/>
        <v>Constante</v>
      </c>
      <c r="H48" t="str">
        <f t="shared" si="30"/>
        <v>Porcentaje</v>
      </c>
      <c r="I48">
        <f t="shared" si="30"/>
        <v>1</v>
      </c>
      <c r="J48">
        <f t="shared" si="30"/>
        <v>1</v>
      </c>
      <c r="K48" t="str">
        <f>+IFERROR(VLOOKUP($F48,Ciudadano_1,MATCH(K$5,Ciudadano!$D$9:$V$9,0),0),"")</f>
        <v>Suma</v>
      </c>
      <c r="L48">
        <f>+IFERROR(VLOOKUP($F48,Ciudadano_1,MATCH(L$5,Ciudadano!$D$9:$V$9,0),0),"")</f>
        <v>1</v>
      </c>
      <c r="M48">
        <f t="shared" si="40"/>
        <v>0</v>
      </c>
      <c r="N48">
        <f>+IFERROR(VLOOKUP($F48,Ciudadano_1,MATCH(N$5,Ciudadano!$D$9:$V$9,0),0),"")</f>
        <v>0</v>
      </c>
      <c r="O48">
        <f>+IFERROR(VLOOKUP($F48,Ciudadano_1,MATCH(O$5,Ciudadano!$D$9:$V$9,0),0),"")</f>
        <v>0</v>
      </c>
      <c r="P48">
        <f>+IFERROR(VLOOKUP($F48,Ciudadano_1,MATCH(P$5,Ciudadano!$D$9:$V$9,0),0),"")</f>
        <v>0</v>
      </c>
      <c r="Q48">
        <f>+IFERROR(VLOOKUP($F48,Ciudadano_1,MATCH(Q$5,Ciudadano!$D$9:$V$9,0),0),"")</f>
        <v>1</v>
      </c>
      <c r="R48">
        <f>+IFERROR(VLOOKUP($F48,Ciudadano_1,MATCH(R$5,Ciudadano!$D$9:$V$9,0),0),"")</f>
        <v>0</v>
      </c>
      <c r="S48">
        <f>+IFERROR(VLOOKUP($F48,Ciudadano_1,MATCH(S$5,Ciudadano!$D$9:$V$9,0),0),"")</f>
        <v>0</v>
      </c>
      <c r="T48">
        <f>+IFERROR(VLOOKUP($F48,Ciudadano_1,MATCH(T$5,Ciudadano!$D$9:$V$9,0),0),"")</f>
        <v>100</v>
      </c>
      <c r="U48" t="str">
        <f>+IFERROR(VLOOKUP($F48,Ciudadano_1,MATCH(U$5,Ciudadano!$D$9:$V$9,0),0),"")</f>
        <v>Se pretende fortalecer y optimizar los procesos e instrumentos de IVC en el Distrito Capital mediante la actualización de la plataforma tecnológica del SUDIVC. Se espera medir el avance en la adecuación de la herramienta, acorde con los requerimientos de la dependencia.</v>
      </c>
      <c r="V48" t="str">
        <f>+IFERROR(VLOOKUP($F48,Ciudadano_1,MATCH(V$5,Ciudadano!$D$9:$V$9,0),0),"")</f>
        <v>Suscribir acuerdos de servicio con las entidades distritales de IVC.
Gestionar elaboración de la matriz de riesgo del SUDIVC.
Realizar pruebas tecnológicas y funcionales de la plataforma IVC.
Realizar y evaluar piloto y ejecutar replica en el DC.</v>
      </c>
      <c r="W48" t="str">
        <f>+IFERROR(VLOOKUP($F48,Ciudadano_1,MATCH(W$5,Ciudadano!$D$9:$V$9,0),0),"")</f>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
      <c r="X48" t="str">
        <f>+IFERROR(VLOOKUP($F48,Ciudadano_1,MATCH(X$5,Ciudadano!$D$9:$V$9,0),0),"")</f>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v>
      </c>
      <c r="Y48">
        <f>+IFERROR(IF(ISBLANK(VLOOKUP(CONCATENATE($F48,"_",Y$4),Ciudadano_2,MATCH(Y$3,Ciudadano!$F$23:$O$23,0),0)),"",VLOOKUP(CONCATENATE($F48,"_",Y$4),Ciudadano_2,MATCH(Y$3,Ciudadano!$F$23:$O$23,0),0)),"")</f>
        <v>0</v>
      </c>
      <c r="Z48">
        <f>+IFERROR(IF(ISBLANK(VLOOKUP(CONCATENATE($F48,"_",Z$4),Ciudadano_2,MATCH(Z$3,Ciudadano!$F$23:$O$23,0),0)),"",VLOOKUP(CONCATENATE($F48,"_",Z$4),Ciudadano_2,MATCH(Z$3,Ciudadano!$F$23:$O$23,0),0)),"")</f>
        <v>0</v>
      </c>
      <c r="AA48" t="str">
        <f>+IFERROR(IF(ISBLANK(VLOOKUP(CONCATENATE($F48,"_",AA$4),Ciudadano_2,MATCH(AA$3,Ciudadano!$F$23:$O$23,0),0)),"",VLOOKUP(CONCATENATE($F48,"_",AA$4),Ciudadano_2,MATCH(AA$3,Ciudadano!$F$23:$O$23,0),0)),"")</f>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Para el año en curso, la subdirección presentará una propuesta para lograr la interoperabilidad con los sistemas de información en el ejercicio de IVC,  con los que cuenta la Secretaría Distrital de Salud y la Secretaría Distrital de Ambiente, esto ayudará a obetener datos en línea del desarrollo de las visitas realizadas.
Esta propuesta esta descrita en el plan operativo de la dependencia, la cual consta de 4 fases:
1.Mesas de trabajo con las entidades para estandarización de la estructura del XML en el servicio web.
2.Prueba de envío de alertas a los sistemas de las entidades desde la plataforma IVC.
3. Pruebas piloto en visitas multidisciplinarias.
4. Elaboración de documentos de propuesta para actualización de la plataforma.
 </v>
      </c>
      <c r="AB48" t="str">
        <f>+IFERROR(IF(ISBLANK(VLOOKUP(CONCATENATE($F48,"_",AB$4),Ciudadano_2,MATCH(AB$3,Ciudadano!$F$23:$O$23,0),0)),"",VLOOKUP(CONCATENATE($F48,"_",AB$4),Ciudadano_2,MATCH(AB$3,Ciudadano!$F$23:$O$23,0),0)),"")</f>
        <v>N/A</v>
      </c>
      <c r="AC48" t="str">
        <f>+IFERROR(IF(ISBLANK(VLOOKUP(CONCATENATE($F48,"_",AC$4),Ciudadano_2,MATCH(AC$3,Ciudadano!$F$23:$O$23,0),0)),"",VLOOKUP(CONCATENATE($F48,"_",AC$4),Ciudadano_2,MATCH(AC$3,Ciudadano!$F$23:$O$23,0),0)),"")</f>
        <v>N/A</v>
      </c>
      <c r="AD48">
        <f>+IFERROR(IF(ISBLANK(VLOOKUP(CONCATENATE($F48,"_",AD$4),Ciudadano_2,MATCH(AD$3,Ciudadano!$F$23:$O$23,0),0)),"",VLOOKUP(CONCATENATE($F48,"_",AD$4),Ciudadano_2,MATCH(AD$3,Ciudadano!$F$23:$O$23,0),0)),"")</f>
        <v>0</v>
      </c>
      <c r="AE48">
        <f>+IFERROR(IF(ISBLANK(VLOOKUP(CONCATENATE($F48,"_",AE$4),Ciudadano_2,MATCH(AE$3,Ciudadano!$F$23:$O$23,0),0)),"",VLOOKUP(CONCATENATE($F48,"_",AE$4),Ciudadano_2,MATCH(AE$3,Ciudadano!$F$23:$O$23,0),0)),"")</f>
        <v>0</v>
      </c>
      <c r="AF48" t="str">
        <f>+IFERROR(IF(ISBLANK(VLOOKUP(CONCATENATE($F48,"_",AF$4),Ciudadano_2,MATCH(AF$3,Ciudadano!$F$23:$O$23,0),0)),"",VLOOKUP(CONCATENATE($F48,"_",AF$4),Ciudadano_2,MATCH(AF$3,Ciudadano!$F$23:$O$23,0),0)),"")</f>
        <v xml:space="preserve">En este mes se empiezan las reuniones para abordar los temas de interoperabilidad y estandarización de formatos para realizar la estructura en XML.
 </v>
      </c>
      <c r="AG48" t="str">
        <f>+IFERROR(IF(ISBLANK(VLOOKUP(CONCATENATE($F48,"_",AG$4),Ciudadano_2,MATCH(AG$3,Ciudadano!$F$23:$O$23,0),0)),"",VLOOKUP(CONCATENATE($F48,"_",AG$4),Ciudadano_2,MATCH(AG$3,Ciudadano!$F$23:$O$23,0),0)),"")</f>
        <v>N/A</v>
      </c>
      <c r="AH48" t="str">
        <f>+IFERROR(IF(ISBLANK(VLOOKUP(CONCATENATE($F48,"_",AH$4),Ciudadano_2,MATCH(AH$3,Ciudadano!$F$23:$O$23,0),0)),"",VLOOKUP(CONCATENATE($F48,"_",AH$4),Ciudadano_2,MATCH(AH$3,Ciudadano!$F$23:$O$23,0),0)),"")</f>
        <v>N/A</v>
      </c>
      <c r="AI48">
        <f>+IFERROR(IF(ISBLANK(VLOOKUP(CONCATENATE($F48,"_",AI$4),Ciudadano_2,MATCH(AI$3,Ciudadano!$F$23:$O$23,0),0)),"",VLOOKUP(CONCATENATE($F48,"_",AI$4),Ciudadano_2,MATCH(AI$3,Ciudadano!$F$23:$O$23,0),0)),"")</f>
        <v>0</v>
      </c>
      <c r="AJ48">
        <f>+IFERROR(IF(ISBLANK(VLOOKUP(CONCATENATE($F48,"_",AJ$4),Ciudadano_2,MATCH(AJ$3,Ciudadano!$F$23:$O$23,0),0)),"",VLOOKUP(CONCATENATE($F48,"_",AJ$4),Ciudadano_2,MATCH(AJ$3,Ciudadano!$F$23:$O$23,0),0)),"")</f>
        <v>0</v>
      </c>
      <c r="AK48" t="str">
        <f>+IFERROR(IF(ISBLANK(VLOOKUP(CONCATENATE($F48,"_",AK$4),Ciudadano_2,MATCH(AK$3,Ciudadano!$F$23:$O$23,0),0)),"",VLOOKUP(CONCATENATE($F48,"_",AK$4),Ciudadano_2,MATCH(AK$3,Ciudadano!$F$23:$O$23,0),0)),"")</f>
        <v xml:space="preserve">Por medio de correo electrónico, se socializa con los referentes de las entidades asigandos al tema, las especificaciones que se deben tener para el desarrollo de los servicios web.
 </v>
      </c>
      <c r="AL48" t="str">
        <f>+IFERROR(IF(ISBLANK(VLOOKUP(CONCATENATE($F48,"_",AL$4),Ciudadano_2,MATCH(AL$3,Ciudadano!$F$23:$O$23,0),0)),"",VLOOKUP(CONCATENATE($F48,"_",AL$4),Ciudadano_2,MATCH(AL$3,Ciudadano!$F$23:$O$23,0),0)),"")</f>
        <v>N/A</v>
      </c>
      <c r="AM48" t="str">
        <f>+IFERROR(IF(ISBLANK(VLOOKUP(CONCATENATE($F48,"_",AM$4),Ciudadano_2,MATCH(AM$3,Ciudadano!$F$23:$O$23,0),0)),"",VLOOKUP(CONCATENATE($F48,"_",AM$4),Ciudadano_2,MATCH(AM$3,Ciudadano!$F$23:$O$23,0),0)),"")</f>
        <v>N/A</v>
      </c>
      <c r="AN48">
        <f>+IFERROR(IF(ISBLANK(VLOOKUP(CONCATENATE($F48,"_",AN$4),Ciudadano_2,MATCH(AN$3,Ciudadano!$F$23:$O$23,0),0)),"",VLOOKUP(CONCATENATE($F48,"_",AN$4),Ciudadano_2,MATCH(AN$3,Ciudadano!$F$23:$O$23,0),0)),"")</f>
        <v>1</v>
      </c>
      <c r="AO48">
        <f>+IFERROR(IF(ISBLANK(VLOOKUP(CONCATENATE($F48,"_",AO$4),Ciudadano_2,MATCH(AO$3,Ciudadano!$F$23:$O$23,0),0)),"",VLOOKUP(CONCATENATE($F48,"_",AO$4),Ciudadano_2,MATCH(AO$3,Ciudadano!$F$23:$O$23,0),0)),"")</f>
        <v>1</v>
      </c>
      <c r="AP48" t="str">
        <f>+IFERROR(IF(ISBLANK(VLOOKUP(CONCATENATE($F48,"_",AP$4),Ciudadano_2,MATCH(AP$3,Ciudadano!$F$23:$O$23,0),0)),"",VLOOKUP(CONCATENATE($F48,"_",AP$4),Ciudadano_2,MATCH(AP$3,Ciudadano!$F$23:$O$23,0),0)),"")</f>
        <v xml:space="preserve">Se informa que este mes se da cumplimiento a la fase 1, con la realizaron mesas de trabajo con las  entidades antes mencionadas para estandarización de la estructura del XML en el servicio web.
 </v>
      </c>
      <c r="AQ48" t="str">
        <f>+IFERROR(IF(ISBLANK(VLOOKUP(CONCATENATE($F48,"_",AQ$4),Ciudadano_2,MATCH(AQ$3,Ciudadano!$F$23:$O$23,0),0)),"",VLOOKUP(CONCATENATE($F48,"_",AQ$4),Ciudadano_2,MATCH(AQ$3,Ciudadano!$F$23:$O$23,0),0)),"")</f>
        <v>N/A</v>
      </c>
      <c r="AR48" t="str">
        <f>+IFERROR(IF(ISBLANK(VLOOKUP(CONCATENATE($F48,"_",AR$4),Ciudadano_2,MATCH(AR$3,Ciudadano!$F$23:$O$23,0),0)),"",VLOOKUP(CONCATENATE($F48,"_",AR$4),Ciudadano_2,MATCH(AR$3,Ciudadano!$F$23:$O$23,0),0)),"")</f>
        <v xml:space="preserve">Con el cumplimiento de esta actividad, se contribuye a la implementación de la interoperabilidad; puesto que al crear un estandar antes de iniciar los desarrollos, aumenta la probabilidad de éxito de cara a las pruebas a llevar a cabo.  </v>
      </c>
      <c r="AS48">
        <f>+IFERROR(IF(ISBLANK(VLOOKUP(CONCATENATE($F48,"_",AS$4),Ciudadano_2,MATCH(AS$3,Ciudadano!$F$23:$O$23,0),0)),"",VLOOKUP(CONCATENATE($F48,"_",AS$4),Ciudadano_2,MATCH(AS$3,Ciudadano!$F$23:$O$23,0),0)),"")</f>
        <v>0</v>
      </c>
      <c r="AT48">
        <f>+IFERROR(IF(ISBLANK(VLOOKUP(CONCATENATE($F48,"_",AT$4),Ciudadano_2,MATCH(AT$3,Ciudadano!$F$23:$O$23,0),0)),"",VLOOKUP(CONCATENATE($F48,"_",AT$4),Ciudadano_2,MATCH(AT$3,Ciudadano!$F$23:$O$23,0),0)),"")</f>
        <v>0</v>
      </c>
      <c r="AU48" t="str">
        <f>+IFERROR(IF(ISBLANK(VLOOKUP(CONCATENATE($F48,"_",AU$4),Ciudadano_2,MATCH(AU$3,Ciudadano!$F$23:$O$23,0),0)),"",VLOOKUP(CONCATENATE($F48,"_",AU$4),Ciudadano_2,MATCH(AU$3,Ciudadano!$F$23:$O$23,0),0)),"")</f>
        <v>N/A</v>
      </c>
      <c r="AV48" t="str">
        <f>+IFERROR(IF(ISBLANK(VLOOKUP(CONCATENATE($F48,"_",AV$4),Ciudadano_2,MATCH(AV$3,Ciudadano!$F$23:$O$23,0),0)),"",VLOOKUP(CONCATENATE($F48,"_",AV$4),Ciudadano_2,MATCH(AV$3,Ciudadano!$F$23:$O$23,0),0)),"")</f>
        <v>N/A</v>
      </c>
      <c r="AW48" t="str">
        <f>+IFERROR(IF(ISBLANK(VLOOKUP(CONCATENATE($F48,"_",AW$4),Ciudadano_2,MATCH(AW$3,Ciudadano!$F$23:$O$23,0),0)),"",VLOOKUP(CONCATENATE($F48,"_",AW$4),Ciudadano_2,MATCH(AW$3,Ciudadano!$F$23:$O$23,0),0)),"")</f>
        <v>N/A</v>
      </c>
      <c r="AX48">
        <f>+IFERROR(IF(ISBLANK(VLOOKUP(CONCATENATE($F48,"_",AX$4),Ciudadano_2,MATCH(AX$3,Ciudadano!$F$23:$O$23,0),0)),"",VLOOKUP(CONCATENATE($F48,"_",AX$4),Ciudadano_2,MATCH(AX$3,Ciudadano!$F$23:$O$23,0),0)),"")</f>
        <v>0</v>
      </c>
      <c r="AY48">
        <f>+IFERROR(IF(ISBLANK(VLOOKUP(CONCATENATE($F48,"_",AY$4),Ciudadano_2,MATCH(AY$3,Ciudadano!$F$23:$O$23,0),0)),"",VLOOKUP(CONCATENATE($F48,"_",AY$4),Ciudadano_2,MATCH(AY$3,Ciudadano!$F$23:$O$23,0),0)),"")</f>
        <v>0</v>
      </c>
      <c r="AZ48" t="str">
        <f>+IFERROR(IF(ISBLANK(VLOOKUP(CONCATENATE($F48,"_",AZ$4),Ciudadano_2,MATCH(AZ$3,Ciudadano!$F$23:$O$23,0),0)),"",VLOOKUP(CONCATENATE($F48,"_",AZ$4),Ciudadano_2,MATCH(AZ$3,Ciudadano!$F$23:$O$23,0),0)),"")</f>
        <v>N/A</v>
      </c>
      <c r="BA48" t="str">
        <f>+IFERROR(IF(ISBLANK(VLOOKUP(CONCATENATE($F48,"_",BA$4),Ciudadano_2,MATCH(BA$3,Ciudadano!$F$23:$O$23,0),0)),"",VLOOKUP(CONCATENATE($F48,"_",BA$4),Ciudadano_2,MATCH(BA$3,Ciudadano!$F$23:$O$23,0),0)),"")</f>
        <v>N/A</v>
      </c>
      <c r="BB48" t="str">
        <f>+IFERROR(IF(ISBLANK(VLOOKUP(CONCATENATE($F48,"_",BB$4),Ciudadano_2,MATCH(BB$3,Ciudadano!$F$23:$O$23,0),0)),"",VLOOKUP(CONCATENATE($F48,"_",BB$4),Ciudadano_2,MATCH(BB$3,Ciudadano!$F$23:$O$23,0),0)),"")</f>
        <v>N/A</v>
      </c>
      <c r="BC48">
        <f t="shared" si="10"/>
        <v>1</v>
      </c>
      <c r="BD48">
        <f t="shared" si="10"/>
        <v>1</v>
      </c>
      <c r="BE48" s="129" t="str">
        <f>+IFERROR(IF(ISBLANK(VLOOKUP(CONCATENATE($F48,"_",BE$4),P1156_4,MATCH(BE$3,PAAC!$E$19:$M$19,0),0)),"",VLOOKUP(CONCATENATE($F48,"_",BE$4),P1156_4,MATCH(BE$3,PAAC!$E$19:$M$19,0),0)),"")</f>
        <v/>
      </c>
      <c r="BF48" s="129" t="str">
        <f>+IFERROR(IF(ISBLANK(VLOOKUP(CONCATENATE($F48,"_",BF$4),P1156_4,MATCH(BF$3,PAAC!$E$19:$M$19,0),0)),"",VLOOKUP(CONCATENATE($F48,"_",BF$4),P1156_4,MATCH(BF$3,PAAC!$E$19:$M$19,0),0)),"")</f>
        <v/>
      </c>
      <c r="BG48" s="129" t="str">
        <f>+IFERROR(IF(ISBLANK(VLOOKUP(CONCATENATE($F48,"_",BG$4),P1156_4,MATCH(BG$3,PAAC!$E$19:$M$19,0),0)),"",VLOOKUP(CONCATENATE($F48,"_",BG$4),P1156_4,MATCH(BG$3,PAAC!$E$19:$M$19,0),0)),"")</f>
        <v/>
      </c>
      <c r="BH48" s="129" t="str">
        <f>+IFERROR(IF(ISBLANK(VLOOKUP(CONCATENATE($F48,"_",BH$4),P1156_4,MATCH(BH$3,PAAC!$E$19:$M$19,0),0)),"",VLOOKUP(CONCATENATE($F48,"_",BH$4),P1156_4,MATCH(BH$3,PAAC!$E$19:$M$19,0),0)),"")</f>
        <v/>
      </c>
      <c r="BI48" s="129" t="str">
        <f>+IFERROR(IF(ISBLANK(VLOOKUP(CONCATENATE($F48,"_",BI$4),P1156_4,MATCH(BI$3,PAAC!$E$19:$M$19,0),0)),"",VLOOKUP(CONCATENATE($F48,"_",BI$4),P1156_4,MATCH(BI$3,PAAC!$E$19:$M$19,0),0)),"")</f>
        <v/>
      </c>
      <c r="BJ48" s="129" t="str">
        <f>+IFERROR(IF(ISBLANK(VLOOKUP(CONCATENATE($F48,"_",BJ$4),P1156_4,MATCH(BJ$3,PAAC!$E$19:$M$19,0),0)),"",VLOOKUP(CONCATENATE($F48,"_",BJ$4),P1156_4,MATCH(BJ$3,PAAC!$E$19:$M$19,0),0)),"")</f>
        <v/>
      </c>
      <c r="BK48" s="129" t="str">
        <f>+IFERROR(IF(ISBLANK(VLOOKUP(CONCATENATE($F48,"_",BK$4),P1156_4,MATCH(BK$3,PAAC!$E$19:$M$19,0),0)),"",VLOOKUP(CONCATENATE($F48,"_",BK$4),P1156_4,MATCH(BK$3,PAAC!$E$19:$M$19,0),0)),"")</f>
        <v/>
      </c>
      <c r="BL48" s="129" t="str">
        <f>+IFERROR(IF(ISBLANK(VLOOKUP(CONCATENATE($F48,"_",BL$4),P1156_4,MATCH(BL$3,PAAC!$E$19:$M$19,0),0)),"",VLOOKUP(CONCATENATE($F48,"_",BL$4),P1156_4,MATCH(BL$3,PAAC!$E$19:$M$19,0),0)),"")</f>
        <v/>
      </c>
      <c r="BM48" s="129" t="str">
        <f>+IFERROR(IF(ISBLANK(VLOOKUP(CONCATENATE($F48,"_",BM$4),P1156_4,MATCH(BM$3,PAAC!$E$19:$M$19,0),0)),"",VLOOKUP(CONCATENATE($F48,"_",BM$4),P1156_4,MATCH(BM$3,PAAC!$E$19:$M$19,0),0)),"")</f>
        <v/>
      </c>
      <c r="BN48" s="129" t="str">
        <f>+IFERROR(IF(ISBLANK(VLOOKUP(CONCATENATE($F48,"_",BN$4),P1156_4,MATCH(BN$3,PAAC!$E$19:$M$19,0),0)),"",VLOOKUP(CONCATENATE($F48,"_",BN$4),P1156_4,MATCH(BN$3,PAAC!$E$19:$M$19,0),0)),"")</f>
        <v/>
      </c>
      <c r="BO48" s="129" t="str">
        <f>+IFERROR(IF(ISBLANK(VLOOKUP(CONCATENATE($F48,"_",BO$4),P1156_4,MATCH(BO$3,PAAC!$E$19:$M$19,0),0)),"",VLOOKUP(CONCATENATE($F48,"_",BO$4),P1156_4,MATCH(BO$3,PAAC!$E$19:$M$19,0),0)),"")</f>
        <v/>
      </c>
      <c r="BP48" s="129" t="str">
        <f>+IFERROR(IF(ISBLANK(VLOOKUP(CONCATENATE($F48,"_",BP$4),P1156_4,MATCH(BP$3,PAAC!$E$19:$M$19,0),0)),"",VLOOKUP(CONCATENATE($F48,"_",BP$4),P1156_4,MATCH(BP$3,PAAC!$E$19:$M$19,0),0)),"")</f>
        <v/>
      </c>
      <c r="BQ48" s="129" t="str">
        <f>+IFERROR(IF(ISBLANK(VLOOKUP(CONCATENATE($F48,"_",BQ$4),P1156_4,MATCH(BQ$3,PAAC!$E$19:$M$19,0),0)),"",VLOOKUP(CONCATENATE($F48,"_",BQ$4),P1156_4,MATCH(BQ$3,PAAC!$E$19:$M$19,0),0)),"")</f>
        <v/>
      </c>
      <c r="BR48" s="129" t="str">
        <f>+IFERROR(IF(ISBLANK(VLOOKUP(CONCATENATE($F48,"_",BR$4),P1156_4,MATCH(BR$3,PAAC!$E$19:$M$19,0),0)),"",VLOOKUP(CONCATENATE($F48,"_",BR$4),P1156_4,MATCH(BR$3,PAAC!$E$19:$M$19,0),0)),"")</f>
        <v/>
      </c>
      <c r="BS48" s="129" t="str">
        <f>+IFERROR(IF(ISBLANK(VLOOKUP(CONCATENATE($F48,"_",BS$4),P1156_4,MATCH(BS$3,PAAC!$E$19:$M$19,0),0)),"",VLOOKUP(CONCATENATE($F48,"_",BS$4),P1156_4,MATCH(BS$3,PAAC!$E$19:$M$19,0),0)),"")</f>
        <v/>
      </c>
      <c r="BT48" s="129" t="str">
        <f>+IFERROR(IF(ISBLANK(VLOOKUP(CONCATENATE($F48,"_",BT$4),P1156_4,MATCH(BT$3,PAAC!$E$19:$M$19,0),0)),"",VLOOKUP(CONCATENATE($F48,"_",BT$4),P1156_4,MATCH(BT$3,PAAC!$E$19:$M$19,0),0)),"")</f>
        <v/>
      </c>
      <c r="BU48" s="129" t="str">
        <f>+IFERROR(IF(ISBLANK(VLOOKUP(CONCATENATE($F48,"_",BU$4),P1156_4,MATCH(BU$3,PAAC!$E$19:$M$19,0),0)),"",VLOOKUP(CONCATENATE($F48,"_",BU$4),P1156_4,MATCH(BU$3,PAAC!$E$19:$M$19,0),0)),"")</f>
        <v/>
      </c>
      <c r="BV48" s="129" t="str">
        <f>+IFERROR(IF(ISBLANK(VLOOKUP(CONCATENATE($F48,"_",BV$4),P1156_4,MATCH(BV$3,PAAC!$E$19:$M$19,0),0)),"",VLOOKUP(CONCATENATE($F48,"_",BV$4),P1156_4,MATCH(BV$3,PAAC!$E$19:$M$19,0),0)),"")</f>
        <v/>
      </c>
      <c r="BW48" s="129" t="str">
        <f>+IFERROR(IF(ISBLANK(VLOOKUP(CONCATENATE($F48,"_",BW$4),P1156_4,MATCH(BW$3,PAAC!$E$19:$M$19,0),0)),"",VLOOKUP(CONCATENATE($F48,"_",BW$4),P1156_4,MATCH(BW$3,PAAC!$E$19:$M$19,0),0)),"")</f>
        <v/>
      </c>
      <c r="BX48" s="129" t="str">
        <f>+IFERROR(IF(ISBLANK(VLOOKUP(CONCATENATE($F48,"_",BX$4),P1156_4,MATCH(BX$3,PAAC!$E$19:$M$19,0),0)),"",VLOOKUP(CONCATENATE($F48,"_",BX$4),P1156_4,MATCH(BX$3,PAAC!$E$19:$M$19,0),0)),"")</f>
        <v/>
      </c>
      <c r="BY48" s="129" t="str">
        <f>+IFERROR(IF(ISBLANK(VLOOKUP(CONCATENATE($F48,"_",BY$4),P1156_4,MATCH(BY$3,PAAC!$E$19:$M$19,0),0)),"",VLOOKUP(CONCATENATE($F48,"_",BY$4),P1156_4,MATCH(BY$3,PAAC!$E$19:$M$19,0),0)),"")</f>
        <v/>
      </c>
      <c r="BZ48" s="129" t="str">
        <f>+IFERROR(IF(ISBLANK(VLOOKUP(CONCATENATE($F48,"_",BZ$4),P1156_4,MATCH(BZ$3,PAAC!$E$19:$M$19,0),0)),"",VLOOKUP(CONCATENATE($F48,"_",BZ$4),P1156_4,MATCH(BZ$3,PAAC!$E$19:$M$19,0),0)),"")</f>
        <v/>
      </c>
      <c r="CA48" s="129" t="str">
        <f>+IFERROR(IF(ISBLANK(VLOOKUP(CONCATENATE($F48,"_",CA$4),P1156_4,MATCH(CA$3,PAAC!$E$19:$M$19,0),0)),"",VLOOKUP(CONCATENATE($F48,"_",CA$4),P1156_4,MATCH(CA$3,PAAC!$E$19:$M$19,0),0)),"")</f>
        <v/>
      </c>
      <c r="CB48" s="129" t="str">
        <f>+IFERROR(IF(ISBLANK(VLOOKUP(CONCATENATE($F48,"_",CB$4),P1156_4,MATCH(CB$3,PAAC!$E$19:$M$19,0),0)),"",VLOOKUP(CONCATENATE($F48,"_",CB$4),P1156_4,MATCH(CB$3,PAAC!$E$19:$M$19,0),0)),"")</f>
        <v/>
      </c>
      <c r="CC48" s="129" t="str">
        <f>+IFERROR(IF(ISBLANK(VLOOKUP(CONCATENATE($F48,"_",CC$4),P1156_4,MATCH(CC$3,PAAC!$E$19:$M$19,0),0)),"",VLOOKUP(CONCATENATE($F48,"_",CC$4),P1156_4,MATCH(CC$3,PAAC!$E$19:$M$19,0),0)),"")</f>
        <v/>
      </c>
      <c r="CD48" s="129" t="str">
        <f t="shared" si="11"/>
        <v/>
      </c>
      <c r="CE48" s="129" t="str">
        <f t="shared" si="3"/>
        <v/>
      </c>
      <c r="CF48" s="129" t="str">
        <f t="shared" si="4"/>
        <v/>
      </c>
      <c r="CG48" s="129" t="str">
        <f t="shared" si="5"/>
        <v/>
      </c>
      <c r="CH48" s="129" t="str">
        <f t="shared" si="6"/>
        <v/>
      </c>
      <c r="CI48" t="str">
        <f t="shared" si="36"/>
        <v>Cumple</v>
      </c>
      <c r="CJ48" t="str">
        <f t="shared" si="36"/>
        <v>Cumplido</v>
      </c>
      <c r="CK48" t="str">
        <f t="shared" si="36"/>
        <v>Adecuado</v>
      </c>
      <c r="CL48" t="str">
        <f t="shared" si="36"/>
        <v>Coherente</v>
      </c>
      <c r="CM48" t="str">
        <f t="shared" si="36"/>
        <v>Concuerda</v>
      </c>
      <c r="CN48" t="str">
        <f t="shared" si="36"/>
        <v>Concuerda</v>
      </c>
      <c r="CO48">
        <f t="shared" si="36"/>
        <v>0</v>
      </c>
      <c r="CP48" t="str">
        <f t="shared" si="36"/>
        <v>Adecuado</v>
      </c>
      <c r="CQ48" t="str">
        <f t="shared" si="36"/>
        <v>Oportuna</v>
      </c>
      <c r="CR48" t="str">
        <f t="shared" si="36"/>
        <v>Ninguna</v>
      </c>
      <c r="CS48" t="str">
        <f t="shared" si="37"/>
        <v>Marcela Andrea García Guerrero</v>
      </c>
      <c r="CT48" t="str">
        <f t="shared" si="37"/>
        <v>No aplica</v>
      </c>
      <c r="CU48" t="str">
        <f t="shared" si="37"/>
        <v>No programó</v>
      </c>
      <c r="CV48" t="str">
        <f t="shared" si="37"/>
        <v>No aplica</v>
      </c>
      <c r="CW48" t="str">
        <f t="shared" si="37"/>
        <v>No aplica</v>
      </c>
      <c r="CX48" t="str">
        <f t="shared" si="37"/>
        <v>No aplica</v>
      </c>
      <c r="CY48" t="str">
        <f t="shared" si="37"/>
        <v>No aplica</v>
      </c>
      <c r="CZ48">
        <f t="shared" si="37"/>
        <v>0</v>
      </c>
      <c r="DA48" t="str">
        <f t="shared" si="37"/>
        <v>No aplica</v>
      </c>
      <c r="DB48" t="str">
        <f t="shared" si="37"/>
        <v>Oportuna</v>
      </c>
      <c r="DC48" t="str">
        <f t="shared" si="38"/>
        <v>Ninguna</v>
      </c>
      <c r="DD48" t="str">
        <f t="shared" si="38"/>
        <v>Marcela Andrea García Guerrero</v>
      </c>
      <c r="DE48" t="e">
        <f t="shared" si="38"/>
        <v>#REF!</v>
      </c>
      <c r="DF48" t="e">
        <f t="shared" si="38"/>
        <v>#REF!</v>
      </c>
      <c r="DG48" t="e">
        <f t="shared" si="38"/>
        <v>#REF!</v>
      </c>
      <c r="DH48" t="e">
        <f t="shared" si="38"/>
        <v>#REF!</v>
      </c>
      <c r="DI48" t="e">
        <f t="shared" si="38"/>
        <v>#REF!</v>
      </c>
      <c r="DJ48" t="e">
        <f t="shared" si="38"/>
        <v>#REF!</v>
      </c>
      <c r="DK48" t="e">
        <f t="shared" si="38"/>
        <v>#REF!</v>
      </c>
      <c r="DL48" t="e">
        <f t="shared" si="38"/>
        <v>#REF!</v>
      </c>
      <c r="DM48" t="e">
        <f t="shared" si="39"/>
        <v>#REF!</v>
      </c>
      <c r="DN48" t="e">
        <f t="shared" si="39"/>
        <v>#REF!</v>
      </c>
      <c r="DO48" t="e">
        <f t="shared" si="39"/>
        <v>#REF!</v>
      </c>
      <c r="DP48" t="e">
        <f t="shared" si="39"/>
        <v>#REF!</v>
      </c>
      <c r="DQ48" t="e">
        <f t="shared" si="39"/>
        <v>#REF!</v>
      </c>
      <c r="DR48" t="e">
        <f t="shared" si="39"/>
        <v>#REF!</v>
      </c>
      <c r="DS48" t="e">
        <f t="shared" si="39"/>
        <v>#REF!</v>
      </c>
      <c r="DT48" t="e">
        <f t="shared" si="39"/>
        <v>#REF!</v>
      </c>
      <c r="DU48" t="e">
        <f t="shared" si="39"/>
        <v>#REF!</v>
      </c>
      <c r="DV48" t="e">
        <f t="shared" si="39"/>
        <v>#REF!</v>
      </c>
      <c r="DW48" t="e">
        <f t="shared" si="39"/>
        <v>#REF!</v>
      </c>
      <c r="DX48" t="e">
        <f t="shared" si="39"/>
        <v>#REF!</v>
      </c>
    </row>
    <row r="49" spans="1:128" x14ac:dyDescent="0.3">
      <c r="A49" s="423" t="str">
        <f t="shared" si="16"/>
        <v>87A</v>
      </c>
      <c r="B49" t="str">
        <f t="shared" si="17"/>
        <v>2_Subdirección de Seguimiento a la  Gestión de Inspección, Vigilancia y  Control</v>
      </c>
      <c r="C49">
        <f t="shared" si="8"/>
        <v>2</v>
      </c>
      <c r="D49" t="str">
        <f t="shared" si="0"/>
        <v>Subdirección de Seguimiento a la  Gestión de Inspección, Vigilancia y  Control</v>
      </c>
      <c r="E49" t="str">
        <f t="shared" si="1"/>
        <v>ivc</v>
      </c>
      <c r="F49" s="208" t="str">
        <f>Ciudadano!D13</f>
        <v>87A</v>
      </c>
      <c r="G49" t="str">
        <f t="shared" si="30"/>
        <v>Suma</v>
      </c>
      <c r="H49" t="str">
        <f t="shared" si="30"/>
        <v>Número</v>
      </c>
      <c r="I49" t="str">
        <f t="shared" si="30"/>
        <v>No Disponible / No Aplica</v>
      </c>
      <c r="J49">
        <f t="shared" si="30"/>
        <v>10</v>
      </c>
      <c r="K49" t="str">
        <f>+IFERROR(VLOOKUP($F49,Ciudadano_1,MATCH(K$5,Ciudadano!$D$9:$V$9,0),0),"")</f>
        <v>Suma</v>
      </c>
      <c r="L49">
        <f>+IFERROR(VLOOKUP($F49,Ciudadano_1,MATCH(L$5,Ciudadano!$D$9:$V$9,0),0),"")</f>
        <v>2</v>
      </c>
      <c r="M49">
        <f t="shared" si="40"/>
        <v>2</v>
      </c>
      <c r="N49">
        <f>+IFERROR(VLOOKUP($F49,Ciudadano_1,MATCH(N$5,Ciudadano!$D$9:$V$9,0),0),"")</f>
        <v>1</v>
      </c>
      <c r="O49">
        <f>+IFERROR(VLOOKUP($F49,Ciudadano_1,MATCH(O$5,Ciudadano!$D$9:$V$9,0),0),"")</f>
        <v>0</v>
      </c>
      <c r="P49">
        <f>+IFERROR(VLOOKUP($F49,Ciudadano_1,MATCH(P$5,Ciudadano!$D$9:$V$9,0),0),"")</f>
        <v>1</v>
      </c>
      <c r="Q49">
        <f>+IFERROR(VLOOKUP($F49,Ciudadano_1,MATCH(Q$5,Ciudadano!$D$9:$V$9,0),0),"")</f>
        <v>0</v>
      </c>
      <c r="R49">
        <f>+IFERROR(VLOOKUP($F49,Ciudadano_1,MATCH(R$5,Ciudadano!$D$9:$V$9,0),0),"")</f>
        <v>0</v>
      </c>
      <c r="S49">
        <f>+IFERROR(VLOOKUP($F49,Ciudadano_1,MATCH(S$5,Ciudadano!$D$9:$V$9,0),0),"")</f>
        <v>0</v>
      </c>
      <c r="T49">
        <f>+IFERROR(VLOOKUP($F49,Ciudadano_1,MATCH(T$5,Ciudadano!$D$9:$V$9,0),0),"")</f>
        <v>2</v>
      </c>
      <c r="U49">
        <f>+IFERROR(VLOOKUP($F49,Ciudadano_1,MATCH(U$5,Ciudadano!$D$9:$V$9,0),0),"")</f>
        <v>0</v>
      </c>
      <c r="V49">
        <f>+IFERROR(VLOOKUP($F49,Ciudadano_1,MATCH(V$5,Ciudadano!$D$9:$V$9,0),0),"")</f>
        <v>0</v>
      </c>
      <c r="W49" t="str">
        <f>+IFERROR(VLOOKUP($F49,Ciudadano_1,MATCH(W$5,Ciudadano!$D$9:$V$9,0),0),"")</f>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
      <c r="X49" t="str">
        <f>+IFERROR(VLOOKUP($F49,Ciudadano_1,MATCH(X$5,Ciudadano!$D$9:$V$9,0),0),"")</f>
        <v xml:space="preserve">Informe de resultados.
</v>
      </c>
      <c r="Y49">
        <f>+IFERROR(IF(ISBLANK(VLOOKUP(CONCATENATE($F49,"_",Y$4),Ciudadano_2,MATCH(Y$3,Ciudadano!$F$23:$O$23,0),0)),"",VLOOKUP(CONCATENATE($F49,"_",Y$4),Ciudadano_2,MATCH(Y$3,Ciudadano!$F$23:$O$23,0),0)),"")</f>
        <v>1</v>
      </c>
      <c r="Z49" t="str">
        <f>+IFERROR(IF(ISBLANK(VLOOKUP(CONCATENATE($F49,"_",Z$4),Ciudadano_2,MATCH(Z$3,Ciudadano!$F$23:$O$23,0),0)),"",VLOOKUP(CONCATENATE($F49,"_",Z$4),Ciudadano_2,MATCH(Z$3,Ciudadano!$F$23:$O$23,0),0)),"")</f>
        <v/>
      </c>
      <c r="AA49" t="str">
        <f>+IFERROR(IF(ISBLANK(VLOOKUP(CONCATENATE($F49,"_",AA$4),Ciudadano_2,MATCH(AA$3,Ciudadano!$F$23:$O$23,0),0)),"",VLOOKUP(CONCATENATE($F49,"_",AA$4),Ciudadano_2,MATCH(AA$3,Ciudadano!$F$23:$O$23,0),0)),"")</f>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Engativa el 22 de enero, en el cual se visitó 1 establecimiento de comercio.
</v>
      </c>
      <c r="AB49" t="str">
        <f>+IFERROR(IF(ISBLANK(VLOOKUP(CONCATENATE($F49,"_",AB$4),Ciudadano_2,MATCH(AB$3,Ciudadano!$F$23:$O$23,0),0)),"",VLOOKUP(CONCATENATE($F49,"_",AB$4),Ciudadano_2,MATCH(AB$3,Ciudadano!$F$23:$O$23,0),0)),"")</f>
        <v>N/A</v>
      </c>
      <c r="AC49" t="str">
        <f>+IFERROR(IF(ISBLANK(VLOOKUP(CONCATENATE($F49,"_",AC$4),Ciudadano_2,MATCH(AC$3,Ciudadano!$F$23:$O$23,0),0)),"",VLOOKUP(CONCATENATE($F49,"_",AC$4),Ciudadano_2,MATCH(AC$3,Ciudadano!$F$23:$O$23,0),0)),"")</f>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
      <c r="AD49">
        <f>+IFERROR(IF(ISBLANK(VLOOKUP(CONCATENATE($F49,"_",AD$4),Ciudadano_2,MATCH(AD$3,Ciudadano!$F$23:$O$23,0),0)),"",VLOOKUP(CONCATENATE($F49,"_",AD$4),Ciudadano_2,MATCH(AD$3,Ciudadano!$F$23:$O$23,0),0)),"")</f>
        <v>0</v>
      </c>
      <c r="AE49" t="str">
        <f>+IFERROR(IF(ISBLANK(VLOOKUP(CONCATENATE($F49,"_",AE$4),Ciudadano_2,MATCH(AE$3,Ciudadano!$F$23:$O$23,0),0)),"",VLOOKUP(CONCATENATE($F49,"_",AE$4),Ciudadano_2,MATCH(AE$3,Ciudadano!$F$23:$O$23,0),0)),"")</f>
        <v/>
      </c>
      <c r="AF49" t="str">
        <f>+IFERROR(IF(ISBLANK(VLOOKUP(CONCATENATE($F49,"_",AF$4),Ciudadano_2,MATCH(AF$3,Ciudadano!$F$23:$O$23,0),0)),"",VLOOKUP(CONCATENATE($F49,"_",AF$4),Ciudadano_2,MATCH(AF$3,Ciudadano!$F$23:$O$23,0),0)),"")</f>
        <v>N/A</v>
      </c>
      <c r="AG49" t="str">
        <f>+IFERROR(IF(ISBLANK(VLOOKUP(CONCATENATE($F49,"_",AG$4),Ciudadano_2,MATCH(AG$3,Ciudadano!$F$23:$O$23,0),0)),"",VLOOKUP(CONCATENATE($F49,"_",AG$4),Ciudadano_2,MATCH(AG$3,Ciudadano!$F$23:$O$23,0),0)),"")</f>
        <v>N/A</v>
      </c>
      <c r="AH49" t="str">
        <f>+IFERROR(IF(ISBLANK(VLOOKUP(CONCATENATE($F49,"_",AH$4),Ciudadano_2,MATCH(AH$3,Ciudadano!$F$23:$O$23,0),0)),"",VLOOKUP(CONCATENATE($F49,"_",AH$4),Ciudadano_2,MATCH(AH$3,Ciudadano!$F$23:$O$23,0),0)),"")</f>
        <v>N/A</v>
      </c>
      <c r="AI49">
        <f>+IFERROR(IF(ISBLANK(VLOOKUP(CONCATENATE($F49,"_",AI$4),Ciudadano_2,MATCH(AI$3,Ciudadano!$F$23:$O$23,0),0)),"",VLOOKUP(CONCATENATE($F49,"_",AI$4),Ciudadano_2,MATCH(AI$3,Ciudadano!$F$23:$O$23,0),0)),"")</f>
        <v>1</v>
      </c>
      <c r="AJ49" t="str">
        <f>+IFERROR(IF(ISBLANK(VLOOKUP(CONCATENATE($F49,"_",AJ$4),Ciudadano_2,MATCH(AJ$3,Ciudadano!$F$23:$O$23,0),0)),"",VLOOKUP(CONCATENATE($F49,"_",AJ$4),Ciudadano_2,MATCH(AJ$3,Ciudadano!$F$23:$O$23,0),0)),"")</f>
        <v/>
      </c>
      <c r="AK49" t="str">
        <f>+IFERROR(IF(ISBLANK(VLOOKUP(CONCATENATE($F49,"_",AK$4),Ciudadano_2,MATCH(AK$3,Ciudadano!$F$23:$O$23,0),0)),"",VLOOKUP(CONCATENATE($F49,"_",AK$4),Ciudadano_2,MATCH(AK$3,Ciudadano!$F$23:$O$23,0),0)),"")</f>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Teusaquillo el 8 de marzo, en el cual se visitaron 5 establecimientos de comercio. 
</v>
      </c>
      <c r="AL49" t="str">
        <f>+IFERROR(IF(ISBLANK(VLOOKUP(CONCATENATE($F49,"_",AL$4),Ciudadano_2,MATCH(AL$3,Ciudadano!$F$23:$O$23,0),0)),"",VLOOKUP(CONCATENATE($F49,"_",AL$4),Ciudadano_2,MATCH(AL$3,Ciudadano!$F$23:$O$23,0),0)),"")</f>
        <v>N/A</v>
      </c>
      <c r="AM49" t="str">
        <f>+IFERROR(IF(ISBLANK(VLOOKUP(CONCATENATE($F49,"_",AM$4),Ciudadano_2,MATCH(AM$3,Ciudadano!$F$23:$O$23,0),0)),"",VLOOKUP(CONCATENATE($F49,"_",AM$4),Ciudadano_2,MATCH(AM$3,Ciudadano!$F$23:$O$23,0),0)),"")</f>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
      <c r="AN49">
        <f>+IFERROR(IF(ISBLANK(VLOOKUP(CONCATENATE($F49,"_",AN$4),Ciudadano_2,MATCH(AN$3,Ciudadano!$F$23:$O$23,0),0)),"",VLOOKUP(CONCATENATE($F49,"_",AN$4),Ciudadano_2,MATCH(AN$3,Ciudadano!$F$23:$O$23,0),0)),"")</f>
        <v>0</v>
      </c>
      <c r="AO49" t="str">
        <f>+IFERROR(IF(ISBLANK(VLOOKUP(CONCATENATE($F49,"_",AO$4),Ciudadano_2,MATCH(AO$3,Ciudadano!$F$23:$O$23,0),0)),"",VLOOKUP(CONCATENATE($F49,"_",AO$4),Ciudadano_2,MATCH(AO$3,Ciudadano!$F$23:$O$23,0),0)),"")</f>
        <v/>
      </c>
      <c r="AP49" t="str">
        <f>+IFERROR(IF(ISBLANK(VLOOKUP(CONCATENATE($F49,"_",AP$4),Ciudadano_2,MATCH(AP$3,Ciudadano!$F$23:$O$23,0),0)),"",VLOOKUP(CONCATENATE($F49,"_",AP$4),Ciudadano_2,MATCH(AP$3,Ciudadano!$F$23:$O$23,0),0)),"")</f>
        <v>N/A</v>
      </c>
      <c r="AQ49" t="str">
        <f>+IFERROR(IF(ISBLANK(VLOOKUP(CONCATENATE($F49,"_",AQ$4),Ciudadano_2,MATCH(AQ$3,Ciudadano!$F$23:$O$23,0),0)),"",VLOOKUP(CONCATENATE($F49,"_",AQ$4),Ciudadano_2,MATCH(AQ$3,Ciudadano!$F$23:$O$23,0),0)),"")</f>
        <v>N/A</v>
      </c>
      <c r="AR49" t="str">
        <f>+IFERROR(IF(ISBLANK(VLOOKUP(CONCATENATE($F49,"_",AR$4),Ciudadano_2,MATCH(AR$3,Ciudadano!$F$23:$O$23,0),0)),"",VLOOKUP(CONCATENATE($F49,"_",AR$4),Ciudadano_2,MATCH(AR$3,Ciudadano!$F$23:$O$23,0),0)),"")</f>
        <v>N/A</v>
      </c>
      <c r="AS49">
        <f>+IFERROR(IF(ISBLANK(VLOOKUP(CONCATENATE($F49,"_",AS$4),Ciudadano_2,MATCH(AS$3,Ciudadano!$F$23:$O$23,0),0)),"",VLOOKUP(CONCATENATE($F49,"_",AS$4),Ciudadano_2,MATCH(AS$3,Ciudadano!$F$23:$O$23,0),0)),"")</f>
        <v>0</v>
      </c>
      <c r="AT49" t="str">
        <f>+IFERROR(IF(ISBLANK(VLOOKUP(CONCATENATE($F49,"_",AT$4),Ciudadano_2,MATCH(AT$3,Ciudadano!$F$23:$O$23,0),0)),"",VLOOKUP(CONCATENATE($F49,"_",AT$4),Ciudadano_2,MATCH(AT$3,Ciudadano!$F$23:$O$23,0),0)),"")</f>
        <v/>
      </c>
      <c r="AU49" t="str">
        <f>+IFERROR(IF(ISBLANK(VLOOKUP(CONCATENATE($F49,"_",AU$4),Ciudadano_2,MATCH(AU$3,Ciudadano!$F$23:$O$23,0),0)),"",VLOOKUP(CONCATENATE($F49,"_",AU$4),Ciudadano_2,MATCH(AU$3,Ciudadano!$F$23:$O$23,0),0)),"")</f>
        <v>N/A</v>
      </c>
      <c r="AV49" t="str">
        <f>+IFERROR(IF(ISBLANK(VLOOKUP(CONCATENATE($F49,"_",AV$4),Ciudadano_2,MATCH(AV$3,Ciudadano!$F$23:$O$23,0),0)),"",VLOOKUP(CONCATENATE($F49,"_",AV$4),Ciudadano_2,MATCH(AV$3,Ciudadano!$F$23:$O$23,0),0)),"")</f>
        <v>N/A</v>
      </c>
      <c r="AW49" t="str">
        <f>+IFERROR(IF(ISBLANK(VLOOKUP(CONCATENATE($F49,"_",AW$4),Ciudadano_2,MATCH(AW$3,Ciudadano!$F$23:$O$23,0),0)),"",VLOOKUP(CONCATENATE($F49,"_",AW$4),Ciudadano_2,MATCH(AW$3,Ciudadano!$F$23:$O$23,0),0)),"")</f>
        <v>N/A</v>
      </c>
      <c r="AX49">
        <f>+IFERROR(IF(ISBLANK(VLOOKUP(CONCATENATE($F49,"_",AX$4),Ciudadano_2,MATCH(AX$3,Ciudadano!$F$23:$O$23,0),0)),"",VLOOKUP(CONCATENATE($F49,"_",AX$4),Ciudadano_2,MATCH(AX$3,Ciudadano!$F$23:$O$23,0),0)),"")</f>
        <v>0</v>
      </c>
      <c r="AY49" t="str">
        <f>+IFERROR(IF(ISBLANK(VLOOKUP(CONCATENATE($F49,"_",AY$4),Ciudadano_2,MATCH(AY$3,Ciudadano!$F$23:$O$23,0),0)),"",VLOOKUP(CONCATENATE($F49,"_",AY$4),Ciudadano_2,MATCH(AY$3,Ciudadano!$F$23:$O$23,0),0)),"")</f>
        <v/>
      </c>
      <c r="AZ49" t="str">
        <f>+IFERROR(IF(ISBLANK(VLOOKUP(CONCATENATE($F49,"_",AZ$4),Ciudadano_2,MATCH(AZ$3,Ciudadano!$F$23:$O$23,0),0)),"",VLOOKUP(CONCATENATE($F49,"_",AZ$4),Ciudadano_2,MATCH(AZ$3,Ciudadano!$F$23:$O$23,0),0)),"")</f>
        <v>N/A</v>
      </c>
      <c r="BA49" t="str">
        <f>+IFERROR(IF(ISBLANK(VLOOKUP(CONCATENATE($F49,"_",BA$4),Ciudadano_2,MATCH(BA$3,Ciudadano!$F$23:$O$23,0),0)),"",VLOOKUP(CONCATENATE($F49,"_",BA$4),Ciudadano_2,MATCH(BA$3,Ciudadano!$F$23:$O$23,0),0)),"")</f>
        <v>N/A</v>
      </c>
      <c r="BB49" t="str">
        <f>+IFERROR(IF(ISBLANK(VLOOKUP(CONCATENATE($F49,"_",BB$4),Ciudadano_2,MATCH(BB$3,Ciudadano!$F$23:$O$23,0),0)),"",VLOOKUP(CONCATENATE($F49,"_",BB$4),Ciudadano_2,MATCH(BB$3,Ciudadano!$F$23:$O$23,0),0)),"")</f>
        <v>N/A</v>
      </c>
      <c r="BC49">
        <f t="shared" si="10"/>
        <v>2</v>
      </c>
      <c r="BD49">
        <f t="shared" si="10"/>
        <v>0</v>
      </c>
      <c r="BE49" s="129" t="str">
        <f>+IFERROR(IF(ISBLANK(VLOOKUP(CONCATENATE($F49,"_",BE$4),P1156_4,MATCH(BE$3,PAAC!$E$19:$M$19,0),0)),"",VLOOKUP(CONCATENATE($F49,"_",BE$4),P1156_4,MATCH(BE$3,PAAC!$E$19:$M$19,0),0)),"")</f>
        <v/>
      </c>
      <c r="BF49" s="129" t="str">
        <f>+IFERROR(IF(ISBLANK(VLOOKUP(CONCATENATE($F49,"_",BF$4),P1156_4,MATCH(BF$3,PAAC!$E$19:$M$19,0),0)),"",VLOOKUP(CONCATENATE($F49,"_",BF$4),P1156_4,MATCH(BF$3,PAAC!$E$19:$M$19,0),0)),"")</f>
        <v/>
      </c>
      <c r="BG49" s="129" t="str">
        <f>+IFERROR(IF(ISBLANK(VLOOKUP(CONCATENATE($F49,"_",BG$4),P1156_4,MATCH(BG$3,PAAC!$E$19:$M$19,0),0)),"",VLOOKUP(CONCATENATE($F49,"_",BG$4),P1156_4,MATCH(BG$3,PAAC!$E$19:$M$19,0),0)),"")</f>
        <v/>
      </c>
      <c r="BH49" s="129" t="str">
        <f>+IFERROR(IF(ISBLANK(VLOOKUP(CONCATENATE($F49,"_",BH$4),P1156_4,MATCH(BH$3,PAAC!$E$19:$M$19,0),0)),"",VLOOKUP(CONCATENATE($F49,"_",BH$4),P1156_4,MATCH(BH$3,PAAC!$E$19:$M$19,0),0)),"")</f>
        <v/>
      </c>
      <c r="BI49" s="129" t="str">
        <f>+IFERROR(IF(ISBLANK(VLOOKUP(CONCATENATE($F49,"_",BI$4),P1156_4,MATCH(BI$3,PAAC!$E$19:$M$19,0),0)),"",VLOOKUP(CONCATENATE($F49,"_",BI$4),P1156_4,MATCH(BI$3,PAAC!$E$19:$M$19,0),0)),"")</f>
        <v/>
      </c>
      <c r="BJ49" s="129" t="str">
        <f>+IFERROR(IF(ISBLANK(VLOOKUP(CONCATENATE($F49,"_",BJ$4),P1156_4,MATCH(BJ$3,PAAC!$E$19:$M$19,0),0)),"",VLOOKUP(CONCATENATE($F49,"_",BJ$4),P1156_4,MATCH(BJ$3,PAAC!$E$19:$M$19,0),0)),"")</f>
        <v/>
      </c>
      <c r="BK49" s="129" t="str">
        <f>+IFERROR(IF(ISBLANK(VLOOKUP(CONCATENATE($F49,"_",BK$4),P1156_4,MATCH(BK$3,PAAC!$E$19:$M$19,0),0)),"",VLOOKUP(CONCATENATE($F49,"_",BK$4),P1156_4,MATCH(BK$3,PAAC!$E$19:$M$19,0),0)),"")</f>
        <v/>
      </c>
      <c r="BL49" s="129" t="str">
        <f>+IFERROR(IF(ISBLANK(VLOOKUP(CONCATENATE($F49,"_",BL$4),P1156_4,MATCH(BL$3,PAAC!$E$19:$M$19,0),0)),"",VLOOKUP(CONCATENATE($F49,"_",BL$4),P1156_4,MATCH(BL$3,PAAC!$E$19:$M$19,0),0)),"")</f>
        <v/>
      </c>
      <c r="BM49" s="129" t="str">
        <f>+IFERROR(IF(ISBLANK(VLOOKUP(CONCATENATE($F49,"_",BM$4),P1156_4,MATCH(BM$3,PAAC!$E$19:$M$19,0),0)),"",VLOOKUP(CONCATENATE($F49,"_",BM$4),P1156_4,MATCH(BM$3,PAAC!$E$19:$M$19,0),0)),"")</f>
        <v/>
      </c>
      <c r="BN49" s="129" t="str">
        <f>+IFERROR(IF(ISBLANK(VLOOKUP(CONCATENATE($F49,"_",BN$4),P1156_4,MATCH(BN$3,PAAC!$E$19:$M$19,0),0)),"",VLOOKUP(CONCATENATE($F49,"_",BN$4),P1156_4,MATCH(BN$3,PAAC!$E$19:$M$19,0),0)),"")</f>
        <v/>
      </c>
      <c r="BO49" s="129" t="str">
        <f>+IFERROR(IF(ISBLANK(VLOOKUP(CONCATENATE($F49,"_",BO$4),P1156_4,MATCH(BO$3,PAAC!$E$19:$M$19,0),0)),"",VLOOKUP(CONCATENATE($F49,"_",BO$4),P1156_4,MATCH(BO$3,PAAC!$E$19:$M$19,0),0)),"")</f>
        <v/>
      </c>
      <c r="BP49" s="129" t="str">
        <f>+IFERROR(IF(ISBLANK(VLOOKUP(CONCATENATE($F49,"_",BP$4),P1156_4,MATCH(BP$3,PAAC!$E$19:$M$19,0),0)),"",VLOOKUP(CONCATENATE($F49,"_",BP$4),P1156_4,MATCH(BP$3,PAAC!$E$19:$M$19,0),0)),"")</f>
        <v/>
      </c>
      <c r="BQ49" s="129" t="str">
        <f>+IFERROR(IF(ISBLANK(VLOOKUP(CONCATENATE($F49,"_",BQ$4),P1156_4,MATCH(BQ$3,PAAC!$E$19:$M$19,0),0)),"",VLOOKUP(CONCATENATE($F49,"_",BQ$4),P1156_4,MATCH(BQ$3,PAAC!$E$19:$M$19,0),0)),"")</f>
        <v/>
      </c>
      <c r="BR49" s="129" t="str">
        <f>+IFERROR(IF(ISBLANK(VLOOKUP(CONCATENATE($F49,"_",BR$4),P1156_4,MATCH(BR$3,PAAC!$E$19:$M$19,0),0)),"",VLOOKUP(CONCATENATE($F49,"_",BR$4),P1156_4,MATCH(BR$3,PAAC!$E$19:$M$19,0),0)),"")</f>
        <v/>
      </c>
      <c r="BS49" s="129" t="str">
        <f>+IFERROR(IF(ISBLANK(VLOOKUP(CONCATENATE($F49,"_",BS$4),P1156_4,MATCH(BS$3,PAAC!$E$19:$M$19,0),0)),"",VLOOKUP(CONCATENATE($F49,"_",BS$4),P1156_4,MATCH(BS$3,PAAC!$E$19:$M$19,0),0)),"")</f>
        <v/>
      </c>
      <c r="BT49" s="129" t="str">
        <f>+IFERROR(IF(ISBLANK(VLOOKUP(CONCATENATE($F49,"_",BT$4),P1156_4,MATCH(BT$3,PAAC!$E$19:$M$19,0),0)),"",VLOOKUP(CONCATENATE($F49,"_",BT$4),P1156_4,MATCH(BT$3,PAAC!$E$19:$M$19,0),0)),"")</f>
        <v/>
      </c>
      <c r="BU49" s="129" t="str">
        <f>+IFERROR(IF(ISBLANK(VLOOKUP(CONCATENATE($F49,"_",BU$4),P1156_4,MATCH(BU$3,PAAC!$E$19:$M$19,0),0)),"",VLOOKUP(CONCATENATE($F49,"_",BU$4),P1156_4,MATCH(BU$3,PAAC!$E$19:$M$19,0),0)),"")</f>
        <v/>
      </c>
      <c r="BV49" s="129" t="str">
        <f>+IFERROR(IF(ISBLANK(VLOOKUP(CONCATENATE($F49,"_",BV$4),P1156_4,MATCH(BV$3,PAAC!$E$19:$M$19,0),0)),"",VLOOKUP(CONCATENATE($F49,"_",BV$4),P1156_4,MATCH(BV$3,PAAC!$E$19:$M$19,0),0)),"")</f>
        <v/>
      </c>
      <c r="BW49" s="129" t="str">
        <f>+IFERROR(IF(ISBLANK(VLOOKUP(CONCATENATE($F49,"_",BW$4),P1156_4,MATCH(BW$3,PAAC!$E$19:$M$19,0),0)),"",VLOOKUP(CONCATENATE($F49,"_",BW$4),P1156_4,MATCH(BW$3,PAAC!$E$19:$M$19,0),0)),"")</f>
        <v/>
      </c>
      <c r="BX49" s="129" t="str">
        <f>+IFERROR(IF(ISBLANK(VLOOKUP(CONCATENATE($F49,"_",BX$4),P1156_4,MATCH(BX$3,PAAC!$E$19:$M$19,0),0)),"",VLOOKUP(CONCATENATE($F49,"_",BX$4),P1156_4,MATCH(BX$3,PAAC!$E$19:$M$19,0),0)),"")</f>
        <v/>
      </c>
      <c r="BY49" s="129" t="str">
        <f>+IFERROR(IF(ISBLANK(VLOOKUP(CONCATENATE($F49,"_",BY$4),P1156_4,MATCH(BY$3,PAAC!$E$19:$M$19,0),0)),"",VLOOKUP(CONCATENATE($F49,"_",BY$4),P1156_4,MATCH(BY$3,PAAC!$E$19:$M$19,0),0)),"")</f>
        <v/>
      </c>
      <c r="BZ49" s="129" t="str">
        <f>+IFERROR(IF(ISBLANK(VLOOKUP(CONCATENATE($F49,"_",BZ$4),P1156_4,MATCH(BZ$3,PAAC!$E$19:$M$19,0),0)),"",VLOOKUP(CONCATENATE($F49,"_",BZ$4),P1156_4,MATCH(BZ$3,PAAC!$E$19:$M$19,0),0)),"")</f>
        <v/>
      </c>
      <c r="CA49" s="129" t="str">
        <f>+IFERROR(IF(ISBLANK(VLOOKUP(CONCATENATE($F49,"_",CA$4),P1156_4,MATCH(CA$3,PAAC!$E$19:$M$19,0),0)),"",VLOOKUP(CONCATENATE($F49,"_",CA$4),P1156_4,MATCH(CA$3,PAAC!$E$19:$M$19,0),0)),"")</f>
        <v/>
      </c>
      <c r="CB49" s="129" t="str">
        <f>+IFERROR(IF(ISBLANK(VLOOKUP(CONCATENATE($F49,"_",CB$4),P1156_4,MATCH(CB$3,PAAC!$E$19:$M$19,0),0)),"",VLOOKUP(CONCATENATE($F49,"_",CB$4),P1156_4,MATCH(CB$3,PAAC!$E$19:$M$19,0),0)),"")</f>
        <v/>
      </c>
      <c r="CC49" s="129" t="str">
        <f>+IFERROR(IF(ISBLANK(VLOOKUP(CONCATENATE($F49,"_",CC$4),P1156_4,MATCH(CC$3,PAAC!$E$19:$M$19,0),0)),"",VLOOKUP(CONCATENATE($F49,"_",CC$4),P1156_4,MATCH(CC$3,PAAC!$E$19:$M$19,0),0)),"")</f>
        <v/>
      </c>
      <c r="CD49" s="129" t="str">
        <f t="shared" si="11"/>
        <v/>
      </c>
      <c r="CE49" s="129" t="str">
        <f t="shared" si="3"/>
        <v/>
      </c>
      <c r="CF49" s="129" t="str">
        <f t="shared" si="4"/>
        <v/>
      </c>
      <c r="CG49" s="129" t="str">
        <f t="shared" si="5"/>
        <v/>
      </c>
      <c r="CH49" s="129" t="str">
        <f t="shared" si="6"/>
        <v/>
      </c>
      <c r="CI49" t="str">
        <f t="shared" si="36"/>
        <v>Cumple</v>
      </c>
      <c r="CJ49" t="str">
        <f t="shared" si="36"/>
        <v>Cumplido</v>
      </c>
      <c r="CK49" t="str">
        <f t="shared" si="36"/>
        <v>Adecuado</v>
      </c>
      <c r="CL49" t="str">
        <f t="shared" si="36"/>
        <v>Coherente</v>
      </c>
      <c r="CM49" t="str">
        <f t="shared" si="36"/>
        <v>Concuerda</v>
      </c>
      <c r="CN49" t="str">
        <f t="shared" si="36"/>
        <v>Concuerda</v>
      </c>
      <c r="CO49">
        <f t="shared" si="36"/>
        <v>0</v>
      </c>
      <c r="CP49" t="str">
        <f t="shared" si="36"/>
        <v>Adecuado</v>
      </c>
      <c r="CQ49" t="str">
        <f t="shared" si="36"/>
        <v>Oportuna</v>
      </c>
      <c r="CR49" t="str">
        <f t="shared" si="36"/>
        <v>Ninguna</v>
      </c>
      <c r="CS49" t="str">
        <f t="shared" si="37"/>
        <v>Marcela Andrea García Guerrero</v>
      </c>
      <c r="CT49" t="str">
        <f t="shared" si="37"/>
        <v>No aplica</v>
      </c>
      <c r="CU49" t="str">
        <f t="shared" si="37"/>
        <v>No programó</v>
      </c>
      <c r="CV49" t="str">
        <f t="shared" si="37"/>
        <v>No aplica</v>
      </c>
      <c r="CW49" t="str">
        <f t="shared" si="37"/>
        <v>No aplica</v>
      </c>
      <c r="CX49" t="str">
        <f t="shared" si="37"/>
        <v>No aplica</v>
      </c>
      <c r="CY49" t="str">
        <f t="shared" si="37"/>
        <v>No aplica</v>
      </c>
      <c r="CZ49">
        <f t="shared" si="37"/>
        <v>0</v>
      </c>
      <c r="DA49" t="str">
        <f t="shared" si="37"/>
        <v>No aplica</v>
      </c>
      <c r="DB49" t="str">
        <f t="shared" si="37"/>
        <v>Oportuna</v>
      </c>
      <c r="DC49" t="str">
        <f t="shared" si="38"/>
        <v>Ninguna</v>
      </c>
      <c r="DD49" t="str">
        <f t="shared" si="38"/>
        <v>Marcela Andrea García Guerrero</v>
      </c>
      <c r="DE49" t="e">
        <f t="shared" si="38"/>
        <v>#REF!</v>
      </c>
      <c r="DF49" t="e">
        <f t="shared" si="38"/>
        <v>#REF!</v>
      </c>
      <c r="DG49" t="e">
        <f t="shared" si="38"/>
        <v>#REF!</v>
      </c>
      <c r="DH49" t="e">
        <f t="shared" si="38"/>
        <v>#REF!</v>
      </c>
      <c r="DI49" t="e">
        <f t="shared" si="38"/>
        <v>#REF!</v>
      </c>
      <c r="DJ49" t="e">
        <f t="shared" si="38"/>
        <v>#REF!</v>
      </c>
      <c r="DK49" t="e">
        <f t="shared" si="38"/>
        <v>#REF!</v>
      </c>
      <c r="DL49" t="e">
        <f t="shared" si="38"/>
        <v>#REF!</v>
      </c>
      <c r="DM49" t="e">
        <f t="shared" si="39"/>
        <v>#REF!</v>
      </c>
      <c r="DN49" t="e">
        <f t="shared" si="39"/>
        <v>#REF!</v>
      </c>
      <c r="DO49" t="e">
        <f t="shared" si="39"/>
        <v>#REF!</v>
      </c>
      <c r="DP49" t="e">
        <f t="shared" si="39"/>
        <v>#REF!</v>
      </c>
      <c r="DQ49" t="e">
        <f t="shared" si="39"/>
        <v>#REF!</v>
      </c>
      <c r="DR49" t="e">
        <f t="shared" si="39"/>
        <v>#REF!</v>
      </c>
      <c r="DS49" t="e">
        <f t="shared" si="39"/>
        <v>#REF!</v>
      </c>
      <c r="DT49" t="e">
        <f t="shared" si="39"/>
        <v>#REF!</v>
      </c>
      <c r="DU49" t="e">
        <f t="shared" si="39"/>
        <v>#REF!</v>
      </c>
      <c r="DV49" t="e">
        <f t="shared" si="39"/>
        <v>#REF!</v>
      </c>
      <c r="DW49" t="e">
        <f t="shared" si="39"/>
        <v>#REF!</v>
      </c>
      <c r="DX49" t="e">
        <f t="shared" si="39"/>
        <v>#REF!</v>
      </c>
    </row>
    <row r="50" spans="1:128" x14ac:dyDescent="0.3">
      <c r="A50" s="423">
        <f t="shared" ref="A50:A55" si="41">+F50</f>
        <v>65</v>
      </c>
      <c r="B50" t="str">
        <f t="shared" ref="B50:B55" si="42">+C50&amp;"_"&amp;D50</f>
        <v>1_Dirección Distrital de Calidad del Servicio</v>
      </c>
      <c r="C50">
        <f t="shared" si="8"/>
        <v>1</v>
      </c>
      <c r="D50" t="str">
        <f t="shared" si="0"/>
        <v>Dirección Distrital de Calidad del Servicio</v>
      </c>
      <c r="E50" t="str">
        <f t="shared" ref="E50:E55" si="43">+VLOOKUP(D50,responsables,8,0)</f>
        <v>cal</v>
      </c>
      <c r="F50" s="208">
        <f>Ciudadano!D14</f>
        <v>65</v>
      </c>
      <c r="G50" t="str">
        <f t="shared" si="30"/>
        <v>Suma</v>
      </c>
      <c r="H50" t="str">
        <f t="shared" si="30"/>
        <v>Número</v>
      </c>
      <c r="I50">
        <f t="shared" si="30"/>
        <v>18000</v>
      </c>
      <c r="J50">
        <f t="shared" si="30"/>
        <v>19000</v>
      </c>
      <c r="K50" t="str">
        <f>+IFERROR(VLOOKUP($F50,Ciudadano_1,MATCH(K$5,Ciudadano!$D$9:$V$9,0),0),"")</f>
        <v>Suma</v>
      </c>
      <c r="L50">
        <f>+IFERROR(VLOOKUP($F50,Ciudadano_1,MATCH(L$5,Ciudadano!$D$9:$V$9,0),0),"")</f>
        <v>7200</v>
      </c>
      <c r="M50">
        <f t="shared" ref="M50:M52" si="44">+IFERROR(SUM(N50:P50),"")</f>
        <v>3600</v>
      </c>
      <c r="N50">
        <f>+IFERROR(VLOOKUP($F50,Ciudadano_1,MATCH(N$5,Ciudadano!$D$9:$V$9,0),0),"")</f>
        <v>1200</v>
      </c>
      <c r="O50">
        <f>+IFERROR(VLOOKUP($F50,Ciudadano_1,MATCH(O$5,Ciudadano!$D$9:$V$9,0),0),"")</f>
        <v>1200</v>
      </c>
      <c r="P50">
        <f>+IFERROR(VLOOKUP($F50,Ciudadano_1,MATCH(P$5,Ciudadano!$D$9:$V$9,0),0),"")</f>
        <v>1200</v>
      </c>
      <c r="Q50">
        <f>+IFERROR(VLOOKUP($F50,Ciudadano_1,MATCH(Q$5,Ciudadano!$D$9:$V$9,0),0),"")</f>
        <v>1200</v>
      </c>
      <c r="R50">
        <f>+IFERROR(VLOOKUP($F50,Ciudadano_1,MATCH(R$5,Ciudadano!$D$9:$V$9,0),0),"")</f>
        <v>1200</v>
      </c>
      <c r="S50">
        <f>+IFERROR(VLOOKUP($F50,Ciudadano_1,MATCH(S$5,Ciudadano!$D$9:$V$9,0),0),"")</f>
        <v>1200</v>
      </c>
      <c r="T50">
        <f>+IFERROR(VLOOKUP($F50,Ciudadano_1,MATCH(T$5,Ciudadano!$D$9:$V$9,0),0),"")</f>
        <v>7200</v>
      </c>
      <c r="U50" t="str">
        <f>+IFERROR(VLOOKUP($F50,Ciudadano_1,MATCH(U$5,Ciudadano!$D$9:$V$9,0),0),"")</f>
        <v xml:space="preserve">Mide el No de respuestas a requerimientos ciudadanos  evaluadas en términos de calidad y calidez.  </v>
      </c>
      <c r="V50" t="str">
        <f>+IFERROR(VLOOKUP($F50,Ciudadano_1,MATCH(V$5,Ciudadano!$D$9:$V$9,0),0),"")</f>
        <v>• Evaluar respuestas a requerimientos ciudadanos  en términos de calidad y calidez.</v>
      </c>
      <c r="W50" t="str">
        <f>+IFERROR(VLOOKUP($F50,Ciudadano_1,MATCH(W$5,Ciudadano!$D$9:$V$9,0),0),"")</f>
        <v>Identificar los aspectos a mejorar en la gestión de peticiones ciudadanas de la Secretaría General y entidades distritales en cuanto a los criterios de coherencia, claridad, calidez y oportunidad, y al uso y manejo del Sistema.</v>
      </c>
      <c r="X50" t="str">
        <f>+IFERROR(VLOOKUP($F50,Ciudadano_1,MATCH(X$5,Ciudadano!$D$9:$V$9,0),0),"")</f>
        <v>Base de datos de las peticiones evaluadas en términos de calidad y calidez (mes vencido)</v>
      </c>
      <c r="Y50">
        <f>+IFERROR(IF(ISBLANK(VLOOKUP(CONCATENATE($F50,"_",Y$4),Ciudadano_2,MATCH(Y$3,Ciudadano!$F$23:$O$23,0),0)),"",VLOOKUP(CONCATENATE($F50,"_",Y$4),Ciudadano_2,MATCH(Y$3,Ciudadano!$F$23:$O$23,0),0)),"")</f>
        <v>1225</v>
      </c>
      <c r="Z50" t="str">
        <f>+IFERROR(IF(ISBLANK(VLOOKUP(CONCATENATE($F50,"_",Z$4),Ciudadano_2,MATCH(Z$3,Ciudadano!$F$23:$O$23,0),0)),"",VLOOKUP(CONCATENATE($F50,"_",Z$4),Ciudadano_2,MATCH(Z$3,Ciudadano!$F$23:$O$23,0),0)),"")</f>
        <v/>
      </c>
      <c r="AA50" t="str">
        <f>+IFERROR(IF(ISBLANK(VLOOKUP(CONCATENATE($F50,"_",AA$4),Ciudadano_2,MATCH(AA$3,Ciudadano!$F$23:$O$23,0),0)),"",VLOOKUP(CONCATENATE($F50,"_",AA$4),Ciudadano_2,MATCH(AA$3,Ciudadano!$F$23:$O$23,0),0)),"")</f>
        <v xml:space="preserve">En el mes de enero se evaluaron (en términos de Calidad y Calidez) 1.225 respuestas registradas en el Sistema de Gestión de peticiones ciudadanas, emitidas en el mes anterior (diciembre/2019) por la Secretaría General y demás entidades distritales,  realizando las siguientes actividades:  
-Selección de la muestra a evaluar. 
-Evaluación de 1.225  respuestas, obteniendose los siguientes resultados en cuanto a los criterios evaluados: el  96% (1.171 respuestas evaluadas en el periodo) cumplen con el criterio de Coherencia; el 93% (1.135 respuestas) cumplen con el criterio de claridad; el  96% (1.171 respuestas)  cumplen con el criterio de calidez;  el 71% (865 respuestas) cumplen con Oportunidad; concluyéndose que el 32% (391  respuestas) no cumplen todos los criterios de Calidad y Calidez  y el  23% (278 respuestas) no cumplen con el manejo del sistema.
-Remisión de comunicaciones  (9 memorandos a Dependencias de la Secretaría General y 39  oficios a  entidades distritales ) con Informe de resultados de la evaluación en términos de Calidad y Calidez (reporte mes vencido). 
La fuente de verificación : 1 archivo PDF "Base de Calidad y Calidez"  da cuenta del total de respuestas a peticiones ciudadanas evaluadas en el mes de enero  (1.225 respuestas emitidas en el mes anterior  -diciembre/2019 - por la Secretaría General y demás entidades distritales). 
</v>
      </c>
      <c r="AB50" t="str">
        <f>+IFERROR(IF(ISBLANK(VLOOKUP(CONCATENATE($F50,"_",AB$4),Ciudadano_2,MATCH(AB$3,Ciudadano!$F$23:$O$23,0),0)),"",VLOOKUP(CONCATENATE($F50,"_",AB$4),Ciudadano_2,MATCH(AB$3,Ciudadano!$F$23:$O$23,0),0)),"")</f>
        <v>N.A</v>
      </c>
      <c r="AC50" t="str">
        <f>+IFERROR(IF(ISBLANK(VLOOKUP(CONCATENATE($F50,"_",AC$4),Ciudadano_2,MATCH(AC$3,Ciudadano!$F$23:$O$23,0),0)),"",VLOOKUP(CONCATENATE($F50,"_",AC$4),Ciudadano_2,MATCH(AC$3,Ciudadano!$F$23:$O$23,0),0)),"")</f>
        <v>Se identificaron los aspectos a mejorar en la respuesta a peticiones ciudadanas,  retroalimentando a dependencias de la Secretaría  General y entidades Distritales (9 dependencias de la Secretaría General y 39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AD50">
        <f>+IFERROR(IF(ISBLANK(VLOOKUP(CONCATENATE($F50,"_",AD$4),Ciudadano_2,MATCH(AD$3,Ciudadano!$F$23:$O$23,0),0)),"",VLOOKUP(CONCATENATE($F50,"_",AD$4),Ciudadano_2,MATCH(AD$3,Ciudadano!$F$23:$O$23,0),0)),"")</f>
        <v>1734</v>
      </c>
      <c r="AE50" t="str">
        <f>+IFERROR(IF(ISBLANK(VLOOKUP(CONCATENATE($F50,"_",AE$4),Ciudadano_2,MATCH(AE$3,Ciudadano!$F$23:$O$23,0),0)),"",VLOOKUP(CONCATENATE($F50,"_",AE$4),Ciudadano_2,MATCH(AE$3,Ciudadano!$F$23:$O$23,0),0)),"")</f>
        <v/>
      </c>
      <c r="AF50" t="str">
        <f>+IFERROR(IF(ISBLANK(VLOOKUP(CONCATENATE($F50,"_",AF$4),Ciudadano_2,MATCH(AF$3,Ciudadano!$F$23:$O$23,0),0)),"",VLOOKUP(CONCATENATE($F50,"_",AF$4),Ciudadano_2,MATCH(AF$3,Ciudadano!$F$23:$O$23,0),0)),"")</f>
        <v xml:space="preserve">En el mes de febrero se evaluaron (en términos de Calidad y Calidez) 1.734  respuestas registradas en el Sistema de Gestión de peticiones ciudadanas, emitidas en el mes anterior (enero/2020) por la Secretaría General y demás entidades distritales,  realizando las siguientes actividades:  
-Selección de la muestra a evaluar. 
-Evaluación de 1.734  respuestas, obteniendose los siguientes resultados en cuanto a los criterios evaluados:el  97% (1.686 respuestas evaluadas en el periodo) cumplen con el criterio de Coherencia; el 95% (1.642 respuestas) cumplen con el criterio de claridad; el  97% (1.684 respuestas)  cumplen con el criterio de calidez;  el 75% (1.306 respuestas) cumplen con Oportunidad; concluyéndose que el 27% (469  respuestas) no cumplen todos los criterios de Calidad y Calidez  y el 4% (75 respuestas) no cumplen con el manejo del sistema.
-Remisión de comunicaciones  (5 memorandos a Dependencias de la Secretaría General y 26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febrero  (1.734 respuestas emitidas en el mes anterior  -enero/2020 - por la Secretaría General y demás entidades distritales). </v>
      </c>
      <c r="AG50" t="str">
        <f>+IFERROR(IF(ISBLANK(VLOOKUP(CONCATENATE($F50,"_",AG$4),Ciudadano_2,MATCH(AG$3,Ciudadano!$F$23:$O$23,0),0)),"",VLOOKUP(CONCATENATE($F50,"_",AG$4),Ciudadano_2,MATCH(AG$3,Ciudadano!$F$23:$O$23,0),0)),"")</f>
        <v>N.A</v>
      </c>
      <c r="AH50" t="str">
        <f>+IFERROR(IF(ISBLANK(VLOOKUP(CONCATENATE($F50,"_",AH$4),Ciudadano_2,MATCH(AH$3,Ciudadano!$F$23:$O$23,0),0)),"",VLOOKUP(CONCATENATE($F50,"_",AH$4),Ciudadano_2,MATCH(AH$3,Ciudadano!$F$23:$O$23,0),0)),"")</f>
        <v>Se identificaron los aspectos a mejorar en la respuesta a peticiones ciudadanas,  retroalimentando a dependencias de la Secretaría  General y entidades Distritales (5 dependencias de la Secretaría General y 26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AI50">
        <f>+IFERROR(IF(ISBLANK(VLOOKUP(CONCATENATE($F50,"_",AI$4),Ciudadano_2,MATCH(AI$3,Ciudadano!$F$23:$O$23,0),0)),"",VLOOKUP(CONCATENATE($F50,"_",AI$4),Ciudadano_2,MATCH(AI$3,Ciudadano!$F$23:$O$23,0),0)),"")</f>
        <v>1635</v>
      </c>
      <c r="AJ50" t="str">
        <f>+IFERROR(IF(ISBLANK(VLOOKUP(CONCATENATE($F50,"_",AJ$4),Ciudadano_2,MATCH(AJ$3,Ciudadano!$F$23:$O$23,0),0)),"",VLOOKUP(CONCATENATE($F50,"_",AJ$4),Ciudadano_2,MATCH(AJ$3,Ciudadano!$F$23:$O$23,0),0)),"")</f>
        <v/>
      </c>
      <c r="AK50" t="str">
        <f>+IFERROR(IF(ISBLANK(VLOOKUP(CONCATENATE($F50,"_",AK$4),Ciudadano_2,MATCH(AK$3,Ciudadano!$F$23:$O$23,0),0)),"",VLOOKUP(CONCATENATE($F50,"_",AK$4),Ciudadano_2,MATCH(AK$3,Ciudadano!$F$23:$O$23,0),0)),"")</f>
        <v xml:space="preserve">En el mes de marzo se evaluaron (en términos de Calidad y Calidez) 1.635  respuestas registradas en el Sistema de Gestión de peticiones ciudadanas, emitidas en el mes anterior (febrero/2020) por la Secretaría General y demás entidades distritales,  realizando las siguientes actividades:  
-Selección de la muestra a evaluar. 
-Evaluación de 1.635  respuestas, obteniendose los siguientes resultados en cuanto a los criterios evaluados:
El  96% (1.566 respuestas) cumplen con el criterio de Coherencia; el 93% (1.514 respuestas) cumplen con el criterio de claridad; el  95% (1.554  respuestas)  cumplen con el criterio de calidez;  el 85% (1.383 respuestas) cumplen con Oportunidad; concluyéndose que el 18% (301  respuestas) no cumplen todos los criterios de Calidad y Calidez  y el 7% (115 respuestas) no cumplen con el manejo del sistema.
-Remisión de comunicaciones  (9 memorandos a Dependencias de la Secretaría General y 36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marzo  (1.635 respuestas emitidas en el mes anterior  -febrero/2020 - por la Secretaría General y demás entidades distritales). </v>
      </c>
      <c r="AL50" t="str">
        <f>+IFERROR(IF(ISBLANK(VLOOKUP(CONCATENATE($F50,"_",AL$4),Ciudadano_2,MATCH(AL$3,Ciudadano!$F$23:$O$23,0),0)),"",VLOOKUP(CONCATENATE($F50,"_",AL$4),Ciudadano_2,MATCH(AL$3,Ciudadano!$F$23:$O$23,0),0)),"")</f>
        <v>N.A</v>
      </c>
      <c r="AM50" t="str">
        <f>+IFERROR(IF(ISBLANK(VLOOKUP(CONCATENATE($F50,"_",AM$4),Ciudadano_2,MATCH(AM$3,Ciudadano!$F$23:$O$23,0),0)),"",VLOOKUP(CONCATENATE($F50,"_",AM$4),Ciudadano_2,MATCH(AM$3,Ciudadano!$F$23:$O$23,0),0)),"")</f>
        <v>Se identificaron los aspectos a mejorar en la respuesta a peticiones ciudadanas,  retroalimentando a dependencias de la Secretaría  General y entidades Distritales (9 dependencias de la Secretaría General y 36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AN50">
        <f>+IFERROR(IF(ISBLANK(VLOOKUP(CONCATENATE($F50,"_",AN$4),Ciudadano_2,MATCH(AN$3,Ciudadano!$F$23:$O$23,0),0)),"",VLOOKUP(CONCATENATE($F50,"_",AN$4),Ciudadano_2,MATCH(AN$3,Ciudadano!$F$23:$O$23,0),0)),"")</f>
        <v>2169</v>
      </c>
      <c r="AO50" t="str">
        <f>+IFERROR(IF(ISBLANK(VLOOKUP(CONCATENATE($F50,"_",AO$4),Ciudadano_2,MATCH(AO$3,Ciudadano!$F$23:$O$23,0),0)),"",VLOOKUP(CONCATENATE($F50,"_",AO$4),Ciudadano_2,MATCH(AO$3,Ciudadano!$F$23:$O$23,0),0)),"")</f>
        <v/>
      </c>
      <c r="AP50" t="str">
        <f>+IFERROR(IF(ISBLANK(VLOOKUP(CONCATENATE($F50,"_",AP$4),Ciudadano_2,MATCH(AP$3,Ciudadano!$F$23:$O$23,0),0)),"",VLOOKUP(CONCATENATE($F50,"_",AP$4),Ciudadano_2,MATCH(AP$3,Ciudadano!$F$23:$O$23,0),0)),"")</f>
        <v xml:space="preserve">En el mes de abril se evaluaron (en términos de Calidad y Calidez)  2.169  respuestas registradas en el Sistema de Gestión de peticiones ciudadanas, emitidas en el mes anterior (marzo/2020) por la Secretaría General y demás entidades distritales,  realizando las siguientes actividades:  
-Selección de la muestra a evaluar. 
-Evaluación de 2.169  respuestas, obteniendose los siguientes resultados en cuanto a los criterios evaluados:
El  95% (2.069  respuestas evaluadas en el periodo) cumplen con el criterio de Coherencia; el 92% (1.987 respuestas) cumplen con el criterio de claridad; el  95% (2.054  respuestas)  cumplen con el criterio de calidez;  el 75% (1.621 respuestas) cumplen con Oportunidad; concluyéndose que el 28% (614  respuestas) no cumplen todos los criterios de Calidad y Calidez  y el 5% (115 respuestas) no cumplen con el manejo del sistema.
-Remisión de comunicaciones  (7 memorandos a Dependencias de la Secretaría General y 40 oficios a  entidades distritales ) con Informe de resultados de la evaluación en términos de Calidad y Calidez (reporte mes vencido). 
La fuente de verificación: 1 archivo  "Base de Calidad y Calidez"  da cuenta del total de respuestas a peticiones ciudadanas evaluadas en el mes de abril  (2.169  respuestas emitidas en el mes anterior  -marzo/2020 - por la Secretaría General y demás entidades distritales). </v>
      </c>
      <c r="AQ50" t="str">
        <f>+IFERROR(IF(ISBLANK(VLOOKUP(CONCATENATE($F50,"_",AQ$4),Ciudadano_2,MATCH(AQ$3,Ciudadano!$F$23:$O$23,0),0)),"",VLOOKUP(CONCATENATE($F50,"_",AQ$4),Ciudadano_2,MATCH(AQ$3,Ciudadano!$F$23:$O$23,0),0)),"")</f>
        <v>N.A</v>
      </c>
      <c r="AR50" t="str">
        <f>+IFERROR(IF(ISBLANK(VLOOKUP(CONCATENATE($F50,"_",AR$4),Ciudadano_2,MATCH(AR$3,Ciudadano!$F$23:$O$23,0),0)),"",VLOOKUP(CONCATENATE($F50,"_",AR$4),Ciudadano_2,MATCH(AR$3,Ciudadano!$F$23:$O$23,0),0)),"")</f>
        <v>Se identificaron los aspectos a mejorar en la respuesta a peticiones ciudadanas,  retroalimentando a dependencias de la Secretaría  General y entidades Distritales (7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AS50">
        <f>+IFERROR(IF(ISBLANK(VLOOKUP(CONCATENATE($F50,"_",AS$4),Ciudadano_2,MATCH(AS$3,Ciudadano!$F$23:$O$23,0),0)),"",VLOOKUP(CONCATENATE($F50,"_",AS$4),Ciudadano_2,MATCH(AS$3,Ciudadano!$F$23:$O$23,0),0)),"")</f>
        <v>1544</v>
      </c>
      <c r="AT50" t="str">
        <f>+IFERROR(IF(ISBLANK(VLOOKUP(CONCATENATE($F50,"_",AT$4),Ciudadano_2,MATCH(AT$3,Ciudadano!$F$23:$O$23,0),0)),"",VLOOKUP(CONCATENATE($F50,"_",AT$4),Ciudadano_2,MATCH(AT$3,Ciudadano!$F$23:$O$23,0),0)),"")</f>
        <v/>
      </c>
      <c r="AU50" t="str">
        <f>+IFERROR(IF(ISBLANK(VLOOKUP(CONCATENATE($F50,"_",AU$4),Ciudadano_2,MATCH(AU$3,Ciudadano!$F$23:$O$23,0),0)),"",VLOOKUP(CONCATENATE($F50,"_",AU$4),Ciudadano_2,MATCH(AU$3,Ciudadano!$F$23:$O$23,0),0)),"")</f>
        <v xml:space="preserve">En el mes de mayo  se evaluaron (en términos de Calidad y Calidez) 1.544 respuestas registradas en el Sistema de Gestión de peticiones ciudadanas, emitidas en el mes anterior (abril/2020) por la Secretaría General y demás entidades distritales,  realizando las siguientes actividades:  
-Selección de la muestra a evaluar. 
-Evaluación de 1.544  respuestas, obteniendose los siguientes resultados en cuanto a los criterios evaluados:
El  94% (1.456  respuestas evaluadas en el periodo) cumplen con el criterio de Coherencia; el 91% (1.398 respuestas) cumplen con el criterio de claridad; el  94% (1.448  respuestas)  cumplen con el criterio de calidez;  el 77% (1.190 respuestas) cumplen con Oportunidad; concluyéndose que el 27% (412  respuestas) no cumplen todos los criterios de Calidad y Calidez  y el 7% (111 respuestas) no cumplen con el manejo del sistema.
-Remisión de comunicaciones  (6 memorandos a Dependencias de la Secretaría General y 35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mayo (1.544  respuestas emitidas en el mes anterior  -abril/2020 - por la Secretaría General y demás entidades distritales). </v>
      </c>
      <c r="AV50" t="str">
        <f>+IFERROR(IF(ISBLANK(VLOOKUP(CONCATENATE($F50,"_",AV$4),Ciudadano_2,MATCH(AV$3,Ciudadano!$F$23:$O$23,0),0)),"",VLOOKUP(CONCATENATE($F50,"_",AV$4),Ciudadano_2,MATCH(AV$3,Ciudadano!$F$23:$O$23,0),0)),"")</f>
        <v>N.A</v>
      </c>
      <c r="AW50" t="str">
        <f>+IFERROR(IF(ISBLANK(VLOOKUP(CONCATENATE($F50,"_",AW$4),Ciudadano_2,MATCH(AW$3,Ciudadano!$F$23:$O$23,0),0)),"",VLOOKUP(CONCATENATE($F50,"_",AW$4),Ciudadano_2,MATCH(AW$3,Ciudadano!$F$23:$O$23,0),0)),"")</f>
        <v>Se identificaron los aspectos a mejorar en la respuesta a peticiones ciudadanas,  retroalimentando a dependencias de la Secretaría  General y entidades Distritales (6 dependencias de la Secretaría General y 35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AX50">
        <f>+IFERROR(IF(ISBLANK(VLOOKUP(CONCATENATE($F50,"_",AX$4),Ciudadano_2,MATCH(AX$3,Ciudadano!$F$23:$O$23,0),0)),"",VLOOKUP(CONCATENATE($F50,"_",AX$4),Ciudadano_2,MATCH(AX$3,Ciudadano!$F$23:$O$23,0),0)),"")</f>
        <v>1811</v>
      </c>
      <c r="AY50" t="str">
        <f>+IFERROR(IF(ISBLANK(VLOOKUP(CONCATENATE($F50,"_",AY$4),Ciudadano_2,MATCH(AY$3,Ciudadano!$F$23:$O$23,0),0)),"",VLOOKUP(CONCATENATE($F50,"_",AY$4),Ciudadano_2,MATCH(AY$3,Ciudadano!$F$23:$O$23,0),0)),"")</f>
        <v/>
      </c>
      <c r="AZ50" t="str">
        <f>+IFERROR(IF(ISBLANK(VLOOKUP(CONCATENATE($F50,"_",AZ$4),Ciudadano_2,MATCH(AZ$3,Ciudadano!$F$23:$O$23,0),0)),"",VLOOKUP(CONCATENATE($F50,"_",AZ$4),Ciudadano_2,MATCH(AZ$3,Ciudadano!$F$23:$O$23,0),0)),"")</f>
        <v xml:space="preserve">En el mes de junio  se evaluaron (en términos de Calidad y Calidez) 1.811 respuestas registradas en el Sistema de Gestión de peticiones ciudadanas, emitidas en el mes anterior (mayo/2020) por la Secretaría General y demás entidades distritales,  realizando las siguientes actividades:  
-Selección de la muestra a evaluar. 
-Evaluación de 1.811  respuestas, obteniendose los siguientes resultados en cuanto a los criterios evaluados:
El  95% (1.726  respuestas evaluadas en el periodo) cumplen con el criterio de Coherencia; el 91% (1.650 respuestas) cumplen con el criterio de claridad; el  94% (1.707  respuestas)  cumplen con el criterio de calidez;  el 82% (1.489 respuestas) cumplen con Oportunidad; concluyéndose que el 22% (392  respuestas) no cumplen todos los criterios de Calidad y Calidez  y el 9% (165 respuestas) no cumplen con el manejo del sistema.
-Remisión de comunicaciones  (7 memorandos a Dependencias de la Secretaría General y 34 oficios a  entidades distritales ) con Informe de resultados de la evaluación en términos de Calidad y Calidez (reporte mes vencido). </v>
      </c>
      <c r="BA50" t="str">
        <f>+IFERROR(IF(ISBLANK(VLOOKUP(CONCATENATE($F50,"_",BA$4),Ciudadano_2,MATCH(BA$3,Ciudadano!$F$23:$O$23,0),0)),"",VLOOKUP(CONCATENATE($F50,"_",BA$4),Ciudadano_2,MATCH(BA$3,Ciudadano!$F$23:$O$23,0),0)),"")</f>
        <v>N.A</v>
      </c>
      <c r="BB50" t="str">
        <f>+IFERROR(IF(ISBLANK(VLOOKUP(CONCATENATE($F50,"_",BB$4),Ciudadano_2,MATCH(BB$3,Ciudadano!$F$23:$O$23,0),0)),"",VLOOKUP(CONCATENATE($F50,"_",BB$4),Ciudadano_2,MATCH(BB$3,Ciudadano!$F$23:$O$23,0),0)),"")</f>
        <v>Se identificaron los aspectos a mejorar en la respuesta a peticiones ciudadanas,  retroalimentando a dependencias de la Secretaría  General y entidades Distritales (7 dependencias de la Secretaría General y 34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BC50">
        <f t="shared" si="10"/>
        <v>10118</v>
      </c>
      <c r="BD50">
        <f t="shared" si="10"/>
        <v>0</v>
      </c>
      <c r="CI50" t="str">
        <f t="shared" si="36"/>
        <v>Cumple</v>
      </c>
      <c r="CJ50" t="str">
        <f t="shared" si="36"/>
        <v>Cumplido</v>
      </c>
      <c r="CK50" t="str">
        <f t="shared" si="36"/>
        <v>Adecuado</v>
      </c>
      <c r="CL50" t="str">
        <f t="shared" si="36"/>
        <v>Coherente</v>
      </c>
      <c r="CM50" t="str">
        <f t="shared" si="36"/>
        <v>Concuerda</v>
      </c>
      <c r="CN50" t="str">
        <f t="shared" si="36"/>
        <v>Concuerda</v>
      </c>
      <c r="CO50">
        <f t="shared" si="36"/>
        <v>0</v>
      </c>
      <c r="CP50" t="str">
        <f t="shared" si="36"/>
        <v>Adecuado</v>
      </c>
      <c r="CQ50" t="str">
        <f t="shared" si="36"/>
        <v>Oportuna</v>
      </c>
      <c r="CR50" t="str">
        <f t="shared" si="36"/>
        <v>Ninguna</v>
      </c>
      <c r="CS50" t="str">
        <f t="shared" si="37"/>
        <v>Marcela Andrea García Guerrero</v>
      </c>
      <c r="CT50" t="str">
        <f t="shared" si="37"/>
        <v>Cumple</v>
      </c>
      <c r="CU50" t="str">
        <f t="shared" si="37"/>
        <v>Cumplido</v>
      </c>
      <c r="CV50" t="str">
        <f t="shared" si="37"/>
        <v>Adecuado</v>
      </c>
      <c r="CW50" t="str">
        <f t="shared" si="37"/>
        <v>Coherente</v>
      </c>
      <c r="CX50" t="str">
        <f t="shared" si="37"/>
        <v>Concuerda</v>
      </c>
      <c r="CY50" t="str">
        <f t="shared" si="37"/>
        <v>Concuerda</v>
      </c>
      <c r="CZ50">
        <f t="shared" si="37"/>
        <v>0</v>
      </c>
      <c r="DA50" t="str">
        <f t="shared" si="37"/>
        <v>Adecuado</v>
      </c>
      <c r="DB50" t="str">
        <f t="shared" si="37"/>
        <v>Oportuna</v>
      </c>
      <c r="DC50" t="str">
        <f t="shared" si="38"/>
        <v>Ninguna</v>
      </c>
      <c r="DD50" t="str">
        <f t="shared" si="38"/>
        <v>Marcela Andrea García Guerrero</v>
      </c>
      <c r="DE50" t="e">
        <f t="shared" si="38"/>
        <v>#REF!</v>
      </c>
      <c r="DF50" t="e">
        <f t="shared" si="38"/>
        <v>#REF!</v>
      </c>
      <c r="DG50" t="e">
        <f t="shared" si="38"/>
        <v>#REF!</v>
      </c>
      <c r="DH50" t="e">
        <f t="shared" si="38"/>
        <v>#REF!</v>
      </c>
      <c r="DI50" t="e">
        <f t="shared" si="38"/>
        <v>#REF!</v>
      </c>
      <c r="DJ50" t="e">
        <f t="shared" si="38"/>
        <v>#REF!</v>
      </c>
      <c r="DK50" t="e">
        <f t="shared" si="38"/>
        <v>#REF!</v>
      </c>
      <c r="DL50" t="e">
        <f t="shared" si="38"/>
        <v>#REF!</v>
      </c>
      <c r="DM50" t="e">
        <f t="shared" si="39"/>
        <v>#REF!</v>
      </c>
      <c r="DN50" t="e">
        <f t="shared" si="39"/>
        <v>#REF!</v>
      </c>
      <c r="DO50" t="e">
        <f t="shared" si="39"/>
        <v>#REF!</v>
      </c>
      <c r="DP50" t="e">
        <f t="shared" si="39"/>
        <v>#REF!</v>
      </c>
      <c r="DQ50" t="e">
        <f t="shared" si="39"/>
        <v>#REF!</v>
      </c>
      <c r="DR50" t="e">
        <f t="shared" si="39"/>
        <v>#REF!</v>
      </c>
      <c r="DS50" t="e">
        <f t="shared" si="39"/>
        <v>#REF!</v>
      </c>
      <c r="DT50" t="e">
        <f t="shared" si="39"/>
        <v>#REF!</v>
      </c>
      <c r="DU50" t="e">
        <f t="shared" si="39"/>
        <v>#REF!</v>
      </c>
      <c r="DV50" t="e">
        <f t="shared" si="39"/>
        <v>#REF!</v>
      </c>
      <c r="DW50" t="e">
        <f t="shared" si="39"/>
        <v>#REF!</v>
      </c>
      <c r="DX50" t="e">
        <f t="shared" si="39"/>
        <v>#REF!</v>
      </c>
    </row>
    <row r="51" spans="1:128" x14ac:dyDescent="0.3">
      <c r="A51" s="423">
        <f t="shared" si="41"/>
        <v>66</v>
      </c>
      <c r="B51" t="str">
        <f t="shared" si="42"/>
        <v>2_Dirección Distrital de Calidad del Servicio</v>
      </c>
      <c r="C51">
        <f t="shared" si="8"/>
        <v>2</v>
      </c>
      <c r="D51" t="str">
        <f t="shared" si="0"/>
        <v>Dirección Distrital de Calidad del Servicio</v>
      </c>
      <c r="E51" t="str">
        <f t="shared" si="43"/>
        <v>cal</v>
      </c>
      <c r="F51" s="208">
        <f>Ciudadano!D15</f>
        <v>66</v>
      </c>
      <c r="G51" t="str">
        <f t="shared" si="30"/>
        <v>Suma</v>
      </c>
      <c r="H51" t="str">
        <f t="shared" si="30"/>
        <v>Número</v>
      </c>
      <c r="I51">
        <f t="shared" si="30"/>
        <v>100</v>
      </c>
      <c r="J51">
        <f t="shared" si="30"/>
        <v>80</v>
      </c>
      <c r="K51" t="str">
        <f>+IFERROR(VLOOKUP($F51,Ciudadano_1,MATCH(K$5,Ciudadano!$D$9:$V$9,0),0),"")</f>
        <v>Suma</v>
      </c>
      <c r="L51">
        <f>+IFERROR(VLOOKUP($F51,Ciudadano_1,MATCH(L$5,Ciudadano!$D$9:$V$9,0),0),"")</f>
        <v>21</v>
      </c>
      <c r="M51">
        <f t="shared" si="44"/>
        <v>21</v>
      </c>
      <c r="N51">
        <f>+IFERROR(VLOOKUP($F51,Ciudadano_1,MATCH(N$5,Ciudadano!$D$9:$V$9,0),0),"")</f>
        <v>5</v>
      </c>
      <c r="O51">
        <f>+IFERROR(VLOOKUP($F51,Ciudadano_1,MATCH(O$5,Ciudadano!$D$9:$V$9,0),0),"")</f>
        <v>8</v>
      </c>
      <c r="P51">
        <f>+IFERROR(VLOOKUP($F51,Ciudadano_1,MATCH(P$5,Ciudadano!$D$9:$V$9,0),0),"")</f>
        <v>8</v>
      </c>
      <c r="Q51">
        <f>+IFERROR(VLOOKUP($F51,Ciudadano_1,MATCH(Q$5,Ciudadano!$D$9:$V$9,0),0),"")</f>
        <v>0</v>
      </c>
      <c r="R51">
        <f>+IFERROR(VLOOKUP($F51,Ciudadano_1,MATCH(R$5,Ciudadano!$D$9:$V$9,0),0),"")</f>
        <v>0</v>
      </c>
      <c r="S51">
        <f>+IFERROR(VLOOKUP($F51,Ciudadano_1,MATCH(S$5,Ciudadano!$D$9:$V$9,0),0),"")</f>
        <v>0</v>
      </c>
      <c r="T51">
        <f>+IFERROR(VLOOKUP($F51,Ciudadano_1,MATCH(T$5,Ciudadano!$D$9:$V$9,0),0),"")</f>
        <v>21</v>
      </c>
      <c r="U51" t="str">
        <f>+IFERROR(VLOOKUP($F51,Ciudadano_1,MATCH(U$5,Ciudadano!$D$9:$V$9,0),0),"")</f>
        <v>Mide el No de monitoreos realizados para evaluar la prestación del servicio en la Red CADE, en los diferentes canales de interacción ciudadana de la Secretaría General y en otros puntos de la Administración Distrital</v>
      </c>
      <c r="V51" t="str">
        <f>+IFERROR(VLOOKUP($F51,Ciudadano_1,MATCH(V$5,Ciudadano!$D$9:$V$9,0),0),"")</f>
        <v xml:space="preserve">• Realizar monitoreo para la medición, evaluación y seguimiento  del servicio en la Red CADE, en los diferentes canales de interacción ciudadana de la Secretaria General y en otros puntos de la Administración Distrital.
</v>
      </c>
      <c r="W51" t="str">
        <f>+IFERROR(VLOOKUP($F51,Ciudadano_1,MATCH(W$5,Ciudadano!$D$9:$V$9,0),0),"")</f>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
      <c r="X51" t="str">
        <f>+IFERROR(VLOOKUP($F51,Ciudadano_1,MATCH(X$5,Ciudadano!$D$9:$V$9,0),0),"")</f>
        <v xml:space="preserve">Informes de monitoreo a los puntos de atención monitoreados en el mes anterior. </v>
      </c>
      <c r="Y51">
        <f>+IFERROR(IF(ISBLANK(VLOOKUP(CONCATENATE($F51,"_",Y$4),Ciudadano_2,MATCH(Y$3,Ciudadano!$F$23:$O$23,0),0)),"",VLOOKUP(CONCATENATE($F51,"_",Y$4),Ciudadano_2,MATCH(Y$3,Ciudadano!$F$23:$O$23,0),0)),"")</f>
        <v>5</v>
      </c>
      <c r="Z51" t="str">
        <f>+IFERROR(IF(ISBLANK(VLOOKUP(CONCATENATE($F51,"_",Z$4),Ciudadano_2,MATCH(Z$3,Ciudadano!$F$23:$O$23,0),0)),"",VLOOKUP(CONCATENATE($F51,"_",Z$4),Ciudadano_2,MATCH(Z$3,Ciudadano!$F$23:$O$23,0),0)),"")</f>
        <v/>
      </c>
      <c r="AA51" t="str">
        <f>+IFERROR(IF(ISBLANK(VLOOKUP(CONCATENATE($F51,"_",AA$4),Ciudadano_2,MATCH(AA$3,Ciudadano!$F$23:$O$23,0),0)),"",VLOOKUP(CONCATENATE($F51,"_",AA$4),Ciudadano_2,MATCH(AA$3,Ciudadano!$F$23:$O$23,0),0)),"")</f>
        <v>En el mes de enero se realizaron cinco (5)  visitas de  monitoreo a los puntos CADE Candelaria, Super CADE Móvil  Ciudad Bolívar, CADE Chicó, CADE Gaitana y Super CADE Móvil Santafe,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enero/2020</v>
      </c>
      <c r="AB51" t="str">
        <f>+IFERROR(IF(ISBLANK(VLOOKUP(CONCATENATE($F51,"_",AB$4),Ciudadano_2,MATCH(AB$3,Ciudadano!$F$23:$O$23,0),0)),"",VLOOKUP(CONCATENATE($F51,"_",AB$4),Ciudadano_2,MATCH(AB$3,Ciudadano!$F$23:$O$23,0),0)),"")</f>
        <v>N.A</v>
      </c>
      <c r="AC51" t="str">
        <f>+IFERROR(IF(ISBLANK(VLOOKUP(CONCATENATE($F51,"_",AC$4),Ciudadano_2,MATCH(AC$3,Ciudadano!$F$23:$O$23,0),0)),"",VLOOKUP(CONCATENATE($F51,"_",AC$4),Ciudadano_2,MATCH(AC$3,Ciudadano!$F$23:$O$23,0),0)),"")</f>
        <v xml:space="preserve"> Se identificaron  los aspectos a mejorar en la prestación del servicio a la ciudadanía  en cinco (5)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
      <c r="AD51">
        <f>+IFERROR(IF(ISBLANK(VLOOKUP(CONCATENATE($F51,"_",AD$4),Ciudadano_2,MATCH(AD$3,Ciudadano!$F$23:$O$23,0),0)),"",VLOOKUP(CONCATENATE($F51,"_",AD$4),Ciudadano_2,MATCH(AD$3,Ciudadano!$F$23:$O$23,0),0)),"")</f>
        <v>8</v>
      </c>
      <c r="AE51" t="str">
        <f>+IFERROR(IF(ISBLANK(VLOOKUP(CONCATENATE($F51,"_",AE$4),Ciudadano_2,MATCH(AE$3,Ciudadano!$F$23:$O$23,0),0)),"",VLOOKUP(CONCATENATE($F51,"_",AE$4),Ciudadano_2,MATCH(AE$3,Ciudadano!$F$23:$O$23,0),0)),"")</f>
        <v/>
      </c>
      <c r="AF51" t="str">
        <f>+IFERROR(IF(ISBLANK(VLOOKUP(CONCATENATE($F51,"_",AF$4),Ciudadano_2,MATCH(AF$3,Ciudadano!$F$23:$O$23,0),0)),"",VLOOKUP(CONCATENATE($F51,"_",AF$4),Ciudadano_2,MATCH(AF$3,Ciudadano!$F$23:$O$23,0),0)),"")</f>
        <v>En el mes de febrero se realizaron ocho (8)  visitas de  monitoreo a los puntos CADE Fontibon, CADE Kennedy, CADE  Muzu, SuperCADE Móvil Kennedy y SuperCADE Móvil Suba, CLAV Suba y Alcaldías Locales Santafe y Usaquen,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"Informes Ficha Tecnica de Monitoreo"  contienen el reporte de las ocho (8) visitas de monitoreo realizadas a los puntos de atención visitados en el mes de febrero/2020</v>
      </c>
      <c r="AG51" t="str">
        <f>+IFERROR(IF(ISBLANK(VLOOKUP(CONCATENATE($F51,"_",AG$4),Ciudadano_2,MATCH(AG$3,Ciudadano!$F$23:$O$23,0),0)),"",VLOOKUP(CONCATENATE($F51,"_",AG$4),Ciudadano_2,MATCH(AG$3,Ciudadano!$F$23:$O$23,0),0)),"")</f>
        <v>N.A</v>
      </c>
      <c r="AH51" t="str">
        <f>+IFERROR(IF(ISBLANK(VLOOKUP(CONCATENATE($F51,"_",AH$4),Ciudadano_2,MATCH(AH$3,Ciudadano!$F$23:$O$23,0),0)),"",VLOOKUP(CONCATENATE($F51,"_",AH$4),Ciudadano_2,MATCH(AH$3,Ciudadano!$F$23:$O$23,0),0)),"")</f>
        <v xml:space="preserve"> Se identificaron  los aspectos a mejorar en la prestación del servicio a la ciudadanía  en ocho (8)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
      <c r="AI51">
        <f>+IFERROR(IF(ISBLANK(VLOOKUP(CONCATENATE($F51,"_",AI$4),Ciudadano_2,MATCH(AI$3,Ciudadano!$F$23:$O$23,0),0)),"",VLOOKUP(CONCATENATE($F51,"_",AI$4),Ciudadano_2,MATCH(AI$3,Ciudadano!$F$23:$O$23,0),0)),"")</f>
        <v>12</v>
      </c>
      <c r="AJ51" t="str">
        <f>+IFERROR(IF(ISBLANK(VLOOKUP(CONCATENATE($F51,"_",AJ$4),Ciudadano_2,MATCH(AJ$3,Ciudadano!$F$23:$O$23,0),0)),"",VLOOKUP(CONCATENATE($F51,"_",AJ$4),Ciudadano_2,MATCH(AJ$3,Ciudadano!$F$23:$O$23,0),0)),"")</f>
        <v/>
      </c>
      <c r="AK51" t="str">
        <f>+IFERROR(IF(ISBLANK(VLOOKUP(CONCATENATE($F51,"_",AK$4),Ciudadano_2,MATCH(AK$3,Ciudadano!$F$23:$O$23,0),0)),"",VLOOKUP(CONCATENATE($F51,"_",AK$4),Ciudadano_2,MATCH(AK$3,Ciudadano!$F$23:$O$23,0),0)),"")</f>
        <v>Durante el mes de marzo se realizaron doce (12)  visitas de  monitoreo a los puntos CADE Luceros, CADE Plaza de las Américas, CADE Santa Helenita, CADE Bosa, CADE Santa Lucia, CADE Servita, CADE Toberín, CLAV Rafael Uribe, CLAV Ciudad Bolívar, Alcaldía Local Candelaria, Alcaldía Local Engativá y Alcaldía Local Puente Aranda.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12 archivos PDF "Informes Ficha Tecnica de Monitoreo"  contienen el reporte de las doce (12) visitas de monitoreo realizadas a los puntos de atención visitados en el mes de marzo/2020.</v>
      </c>
      <c r="AL51" t="str">
        <f>+IFERROR(IF(ISBLANK(VLOOKUP(CONCATENATE($F51,"_",AL$4),Ciudadano_2,MATCH(AL$3,Ciudadano!$F$23:$O$23,0),0)),"",VLOOKUP(CONCATENATE($F51,"_",AL$4),Ciudadano_2,MATCH(AL$3,Ciudadano!$F$23:$O$23,0),0)),"")</f>
        <v>N.A</v>
      </c>
      <c r="AM51" t="str">
        <f>+IFERROR(IF(ISBLANK(VLOOKUP(CONCATENATE($F51,"_",AM$4),Ciudadano_2,MATCH(AM$3,Ciudadano!$F$23:$O$23,0),0)),"",VLOOKUP(CONCATENATE($F51,"_",AM$4),Ciudadano_2,MATCH(AM$3,Ciudadano!$F$23:$O$23,0),0)),"")</f>
        <v xml:space="preserve"> Se identificaron  los aspectos a mejorar en la prestación del servicio a la ciudadanía  en doce (12)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
      <c r="AN51">
        <f>+IFERROR(IF(ISBLANK(VLOOKUP(CONCATENATE($F51,"_",AN$4),Ciudadano_2,MATCH(AN$3,Ciudadano!$F$23:$O$23,0),0)),"",VLOOKUP(CONCATENATE($F51,"_",AN$4),Ciudadano_2,MATCH(AN$3,Ciudadano!$F$23:$O$23,0),0)),"")</f>
        <v>0</v>
      </c>
      <c r="AO51" t="str">
        <f>+IFERROR(IF(ISBLANK(VLOOKUP(CONCATENATE($F51,"_",AO$4),Ciudadano_2,MATCH(AO$3,Ciudadano!$F$23:$O$23,0),0)),"",VLOOKUP(CONCATENATE($F51,"_",AO$4),Ciudadano_2,MATCH(AO$3,Ciudadano!$F$23:$O$23,0),0)),"")</f>
        <v/>
      </c>
      <c r="AP51" t="str">
        <f>+IFERROR(IF(ISBLANK(VLOOKUP(CONCATENATE($F51,"_",AP$4),Ciudadano_2,MATCH(AP$3,Ciudadano!$F$23:$O$23,0),0)),"",VLOOKUP(CONCATENATE($F51,"_",AP$4),Ciudadano_2,MATCH(AP$3,Ciudadano!$F$23:$O$23,0),0)),"")</f>
        <v>N.A</v>
      </c>
      <c r="AQ51" t="str">
        <f>+IFERROR(IF(ISBLANK(VLOOKUP(CONCATENATE($F51,"_",AQ$4),Ciudadano_2,MATCH(AQ$3,Ciudadano!$F$23:$O$23,0),0)),"",VLOOKUP(CONCATENATE($F51,"_",AQ$4),Ciudadano_2,MATCH(AQ$3,Ciudadano!$F$23:$O$23,0),0)),"")</f>
        <v>N.A</v>
      </c>
      <c r="AR51" t="str">
        <f>+IFERROR(IF(ISBLANK(VLOOKUP(CONCATENATE($F51,"_",AR$4),Ciudadano_2,MATCH(AR$3,Ciudadano!$F$23:$O$23,0),0)),"",VLOOKUP(CONCATENATE($F51,"_",AR$4),Ciudadano_2,MATCH(AR$3,Ciudadano!$F$23:$O$23,0),0)),"")</f>
        <v>N.A</v>
      </c>
      <c r="AS51">
        <f>+IFERROR(IF(ISBLANK(VLOOKUP(CONCATENATE($F51,"_",AS$4),Ciudadano_2,MATCH(AS$3,Ciudadano!$F$23:$O$23,0),0)),"",VLOOKUP(CONCATENATE($F51,"_",AS$4),Ciudadano_2,MATCH(AS$3,Ciudadano!$F$23:$O$23,0),0)),"")</f>
        <v>0</v>
      </c>
      <c r="AT51" t="str">
        <f>+IFERROR(IF(ISBLANK(VLOOKUP(CONCATENATE($F51,"_",AT$4),Ciudadano_2,MATCH(AT$3,Ciudadano!$F$23:$O$23,0),0)),"",VLOOKUP(CONCATENATE($F51,"_",AT$4),Ciudadano_2,MATCH(AT$3,Ciudadano!$F$23:$O$23,0),0)),"")</f>
        <v/>
      </c>
      <c r="AU51" t="str">
        <f>+IFERROR(IF(ISBLANK(VLOOKUP(CONCATENATE($F51,"_",AU$4),Ciudadano_2,MATCH(AU$3,Ciudadano!$F$23:$O$23,0),0)),"",VLOOKUP(CONCATENATE($F51,"_",AU$4),Ciudadano_2,MATCH(AU$3,Ciudadano!$F$23:$O$23,0),0)),"")</f>
        <v>N.A</v>
      </c>
      <c r="AV51" t="str">
        <f>+IFERROR(IF(ISBLANK(VLOOKUP(CONCATENATE($F51,"_",AV$4),Ciudadano_2,MATCH(AV$3,Ciudadano!$F$23:$O$23,0),0)),"",VLOOKUP(CONCATENATE($F51,"_",AV$4),Ciudadano_2,MATCH(AV$3,Ciudadano!$F$23:$O$23,0),0)),"")</f>
        <v>N/A</v>
      </c>
      <c r="AW51" t="str">
        <f>+IFERROR(IF(ISBLANK(VLOOKUP(CONCATENATE($F51,"_",AW$4),Ciudadano_2,MATCH(AW$3,Ciudadano!$F$23:$O$23,0),0)),"",VLOOKUP(CONCATENATE($F51,"_",AW$4),Ciudadano_2,MATCH(AW$3,Ciudadano!$F$23:$O$23,0),0)),"")</f>
        <v>N.A</v>
      </c>
      <c r="AX51">
        <f>+IFERROR(IF(ISBLANK(VLOOKUP(CONCATENATE($F51,"_",AX$4),Ciudadano_2,MATCH(AX$3,Ciudadano!$F$23:$O$23,0),0)),"",VLOOKUP(CONCATENATE($F51,"_",AX$4),Ciudadano_2,MATCH(AX$3,Ciudadano!$F$23:$O$23,0),0)),"")</f>
        <v>0</v>
      </c>
      <c r="AY51" t="str">
        <f>+IFERROR(IF(ISBLANK(VLOOKUP(CONCATENATE($F51,"_",AY$4),Ciudadano_2,MATCH(AY$3,Ciudadano!$F$23:$O$23,0),0)),"",VLOOKUP(CONCATENATE($F51,"_",AY$4),Ciudadano_2,MATCH(AY$3,Ciudadano!$F$23:$O$23,0),0)),"")</f>
        <v/>
      </c>
      <c r="AZ51" t="str">
        <f>+IFERROR(IF(ISBLANK(VLOOKUP(CONCATENATE($F51,"_",AZ$4),Ciudadano_2,MATCH(AZ$3,Ciudadano!$F$23:$O$23,0),0)),"",VLOOKUP(CONCATENATE($F51,"_",AZ$4),Ciudadano_2,MATCH(AZ$3,Ciudadano!$F$23:$O$23,0),0)),"")</f>
        <v>N.A</v>
      </c>
      <c r="BA51" t="str">
        <f>+IFERROR(IF(ISBLANK(VLOOKUP(CONCATENATE($F51,"_",BA$4),Ciudadano_2,MATCH(BA$3,Ciudadano!$F$23:$O$23,0),0)),"",VLOOKUP(CONCATENATE($F51,"_",BA$4),Ciudadano_2,MATCH(BA$3,Ciudadano!$F$23:$O$23,0),0)),"")</f>
        <v>N/A</v>
      </c>
      <c r="BB51" t="str">
        <f>+IFERROR(IF(ISBLANK(VLOOKUP(CONCATENATE($F51,"_",BB$4),Ciudadano_2,MATCH(BB$3,Ciudadano!$F$23:$O$23,0),0)),"",VLOOKUP(CONCATENATE($F51,"_",BB$4),Ciudadano_2,MATCH(BB$3,Ciudadano!$F$23:$O$23,0),0)),"")</f>
        <v>N.A</v>
      </c>
      <c r="BC51">
        <f t="shared" si="10"/>
        <v>25</v>
      </c>
      <c r="BD51">
        <f t="shared" si="10"/>
        <v>0</v>
      </c>
      <c r="CI51" t="str">
        <f t="shared" si="36"/>
        <v>Cumple</v>
      </c>
      <c r="CJ51" t="str">
        <f t="shared" si="36"/>
        <v>Cumplido</v>
      </c>
      <c r="CK51" t="str">
        <f t="shared" si="36"/>
        <v>Adecuado</v>
      </c>
      <c r="CL51" t="str">
        <f t="shared" si="36"/>
        <v>Coherente</v>
      </c>
      <c r="CM51" t="str">
        <f t="shared" si="36"/>
        <v>Concuerda</v>
      </c>
      <c r="CN51" t="str">
        <f t="shared" si="36"/>
        <v>Concuerda</v>
      </c>
      <c r="CO51">
        <f t="shared" si="36"/>
        <v>0</v>
      </c>
      <c r="CP51" t="str">
        <f t="shared" si="36"/>
        <v>Adecuado</v>
      </c>
      <c r="CQ51" t="str">
        <f t="shared" si="36"/>
        <v>Oportuna</v>
      </c>
      <c r="CR51" t="str">
        <f t="shared" si="36"/>
        <v>Ninguna</v>
      </c>
      <c r="CS51" t="str">
        <f t="shared" si="37"/>
        <v>Marcela Andrea García Guerrero</v>
      </c>
      <c r="CT51" t="str">
        <f t="shared" si="37"/>
        <v>No aplica</v>
      </c>
      <c r="CU51" t="str">
        <f t="shared" si="37"/>
        <v>No programó</v>
      </c>
      <c r="CV51" t="str">
        <f t="shared" si="37"/>
        <v>No aplica</v>
      </c>
      <c r="CW51" t="str">
        <f t="shared" si="37"/>
        <v>No aplica</v>
      </c>
      <c r="CX51" t="str">
        <f t="shared" si="37"/>
        <v>No aplica</v>
      </c>
      <c r="CY51" t="str">
        <f t="shared" si="37"/>
        <v>No aplica</v>
      </c>
      <c r="CZ51">
        <f t="shared" si="37"/>
        <v>0</v>
      </c>
      <c r="DA51" t="str">
        <f t="shared" si="37"/>
        <v>No aplica</v>
      </c>
      <c r="DB51" t="str">
        <f t="shared" si="37"/>
        <v>Oportuna</v>
      </c>
      <c r="DC51" t="str">
        <f t="shared" si="38"/>
        <v>Ninguna</v>
      </c>
      <c r="DD51" t="str">
        <f t="shared" si="38"/>
        <v>Marcela Andrea García Guerrero</v>
      </c>
      <c r="DE51" t="e">
        <f t="shared" si="38"/>
        <v>#REF!</v>
      </c>
      <c r="DF51" t="e">
        <f t="shared" si="38"/>
        <v>#REF!</v>
      </c>
      <c r="DG51" t="e">
        <f t="shared" si="38"/>
        <v>#REF!</v>
      </c>
      <c r="DH51" t="e">
        <f t="shared" si="38"/>
        <v>#REF!</v>
      </c>
      <c r="DI51" t="e">
        <f t="shared" si="38"/>
        <v>#REF!</v>
      </c>
      <c r="DJ51" t="e">
        <f t="shared" si="38"/>
        <v>#REF!</v>
      </c>
      <c r="DK51" t="e">
        <f t="shared" si="38"/>
        <v>#REF!</v>
      </c>
      <c r="DL51" t="e">
        <f t="shared" si="38"/>
        <v>#REF!</v>
      </c>
      <c r="DM51" t="e">
        <f t="shared" si="39"/>
        <v>#REF!</v>
      </c>
      <c r="DN51" t="e">
        <f t="shared" si="39"/>
        <v>#REF!</v>
      </c>
      <c r="DO51" t="e">
        <f t="shared" si="39"/>
        <v>#REF!</v>
      </c>
      <c r="DP51" t="e">
        <f t="shared" si="39"/>
        <v>#REF!</v>
      </c>
      <c r="DQ51" t="e">
        <f t="shared" si="39"/>
        <v>#REF!</v>
      </c>
      <c r="DR51" t="e">
        <f t="shared" si="39"/>
        <v>#REF!</v>
      </c>
      <c r="DS51" t="e">
        <f t="shared" si="39"/>
        <v>#REF!</v>
      </c>
      <c r="DT51" t="e">
        <f t="shared" si="39"/>
        <v>#REF!</v>
      </c>
      <c r="DU51" t="e">
        <f t="shared" si="39"/>
        <v>#REF!</v>
      </c>
      <c r="DV51" t="e">
        <f t="shared" si="39"/>
        <v>#REF!</v>
      </c>
      <c r="DW51" t="e">
        <f t="shared" si="39"/>
        <v>#REF!</v>
      </c>
      <c r="DX51" t="e">
        <f t="shared" si="39"/>
        <v>#REF!</v>
      </c>
    </row>
    <row r="52" spans="1:128" x14ac:dyDescent="0.3">
      <c r="A52" s="423">
        <f t="shared" si="41"/>
        <v>67</v>
      </c>
      <c r="B52" t="str">
        <f t="shared" si="42"/>
        <v>3_Dirección Distrital de Calidad del Servicio</v>
      </c>
      <c r="C52">
        <f t="shared" si="8"/>
        <v>3</v>
      </c>
      <c r="D52" t="str">
        <f t="shared" si="0"/>
        <v>Dirección Distrital de Calidad del Servicio</v>
      </c>
      <c r="E52" t="str">
        <f t="shared" si="43"/>
        <v>cal</v>
      </c>
      <c r="F52" s="208">
        <f>Ciudadano!D16</f>
        <v>67</v>
      </c>
      <c r="G52" t="str">
        <f t="shared" si="30"/>
        <v>Suma</v>
      </c>
      <c r="H52" t="str">
        <f t="shared" si="30"/>
        <v>Número</v>
      </c>
      <c r="I52">
        <f t="shared" si="30"/>
        <v>7000</v>
      </c>
      <c r="J52">
        <f t="shared" si="30"/>
        <v>3800</v>
      </c>
      <c r="K52" t="str">
        <f>+IFERROR(VLOOKUP($F52,Ciudadano_1,MATCH(K$5,Ciudadano!$D$9:$V$9,0),0),"")</f>
        <v>Suma</v>
      </c>
      <c r="L52">
        <f>+IFERROR(VLOOKUP($F52,Ciudadano_1,MATCH(L$5,Ciudadano!$D$9:$V$9,0),0),"")</f>
        <v>1610</v>
      </c>
      <c r="M52">
        <f t="shared" si="44"/>
        <v>317</v>
      </c>
      <c r="N52">
        <f>+IFERROR(VLOOKUP($F52,Ciudadano_1,MATCH(N$5,Ciudadano!$D$9:$V$9,0),0),"")</f>
        <v>10</v>
      </c>
      <c r="O52">
        <f>+IFERROR(VLOOKUP($F52,Ciudadano_1,MATCH(O$5,Ciudadano!$D$9:$V$9,0),0),"")</f>
        <v>100</v>
      </c>
      <c r="P52">
        <f>+IFERROR(VLOOKUP($F52,Ciudadano_1,MATCH(P$5,Ciudadano!$D$9:$V$9,0),0),"")</f>
        <v>207</v>
      </c>
      <c r="Q52">
        <f>+IFERROR(VLOOKUP($F52,Ciudadano_1,MATCH(Q$5,Ciudadano!$D$9:$V$9,0),0),"")</f>
        <v>393</v>
      </c>
      <c r="R52">
        <f>+IFERROR(VLOOKUP($F52,Ciudadano_1,MATCH(R$5,Ciudadano!$D$9:$V$9,0),0),"")</f>
        <v>450</v>
      </c>
      <c r="S52">
        <f>+IFERROR(VLOOKUP($F52,Ciudadano_1,MATCH(S$5,Ciudadano!$D$9:$V$9,0),0),"")</f>
        <v>450</v>
      </c>
      <c r="T52">
        <f>+IFERROR(VLOOKUP($F52,Ciudadano_1,MATCH(T$5,Ciudadano!$D$9:$V$9,0),0),"")</f>
        <v>1610</v>
      </c>
      <c r="U52" t="str">
        <f>+IFERROR(VLOOKUP($F52,Ciudadano_1,MATCH(U$5,Ciudadano!$D$9:$V$9,0),0),"")</f>
        <v>Mide el No de servidores(as)  fortalecidos en sus conocimientos, habilidades y actitudes en el servicio a la ciudadanía.</v>
      </c>
      <c r="V52" t="str">
        <f>+IFERROR(VLOOKUP($F52,Ciudadano_1,MATCH(V$5,Ciudadano!$D$9:$V$9,0),0),"")</f>
        <v xml:space="preserve">• Realizar cualificación de servidores  </v>
      </c>
      <c r="W52" t="str">
        <f>+IFERROR(VLOOKUP($F52,Ciudadano_1,MATCH(W$5,Ciudadano!$D$9:$V$9,0),0),"")</f>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
      <c r="X52" t="str">
        <f>+IFERROR(VLOOKUP($F52,Ciudadano_1,MATCH(X$5,Ciudadano!$D$9:$V$9,0),0),"")</f>
        <v>Registros de Asistencia  (Formato 2211300-FT-211 PDF)
Cuadro resumen de cualificaciones</v>
      </c>
      <c r="Y52">
        <f>+IFERROR(IF(ISBLANK(VLOOKUP(CONCATENATE($F52,"_",Y$4),Ciudadano_2,MATCH(Y$3,Ciudadano!$F$23:$O$23,0),0)),"",VLOOKUP(CONCATENATE($F52,"_",Y$4),Ciudadano_2,MATCH(Y$3,Ciudadano!$F$23:$O$23,0),0)),"")</f>
        <v>11</v>
      </c>
      <c r="Z52" t="str">
        <f>+IFERROR(IF(ISBLANK(VLOOKUP(CONCATENATE($F52,"_",Z$4),Ciudadano_2,MATCH(Z$3,Ciudadano!$F$23:$O$23,0),0)),"",VLOOKUP(CONCATENATE($F52,"_",Z$4),Ciudadano_2,MATCH(Z$3,Ciudadano!$F$23:$O$23,0),0)),"")</f>
        <v/>
      </c>
      <c r="AA52" t="str">
        <f>+IFERROR(IF(ISBLANK(VLOOKUP(CONCATENATE($F52,"_",AA$4),Ciudadano_2,MATCH(AA$3,Ciudadano!$F$23:$O$23,0),0)),"",VLOOKUP(CONCATENATE($F52,"_",AA$4),Ciudadano_2,MATCH(AA$3,Ciudadano!$F$23:$O$23,0),0)),"")</f>
        <v>Durante el mes de enero se realizaron dos (2) jornadas de cualificación, en las cuales se alcanzó en total a 11 servidores(as) públicos y otros de la Administración Distrital y entidades presentes en la Red CADE, cualificándolos en sus conocimientos, habilidades y actitudes en el servicio a la ciudadanía, especificamente en temáticas de Conceptos de Servicio 
La fuentes de verificación 2 archivos: 
1 archivo PDF "Asistencia Cualificación mes de enero" contienen los listados de asistencia a las cualificaciones realizadas  en el mes de enero/2020.
1 archivo PDF Consolidado Cualificac enero 2020</v>
      </c>
      <c r="AB52" t="str">
        <f>+IFERROR(IF(ISBLANK(VLOOKUP(CONCATENATE($F52,"_",AB$4),Ciudadano_2,MATCH(AB$3,Ciudadano!$F$23:$O$23,0),0)),"",VLOOKUP(CONCATENATE($F52,"_",AB$4),Ciudadano_2,MATCH(AB$3,Ciudadano!$F$23:$O$23,0),0)),"")</f>
        <v>NA</v>
      </c>
      <c r="AC52" t="str">
        <f>+IFERROR(IF(ISBLANK(VLOOKUP(CONCATENATE($F52,"_",AC$4),Ciudadano_2,MATCH(AC$3,Ciudadano!$F$23:$O$23,0),0)),"",VLOOKUP(CONCATENATE($F52,"_",AC$4),Ciudadano_2,MATCH(AC$3,Ciudadano!$F$23:$O$23,0),0)),"")</f>
        <v xml:space="preserve">Se fortalecieron los conocimientos, habilidades y actitudes de 11 servidores(as) públicos y otros,  de la Administración Distrital y entidades presentes en la Red CADE, para el mejoramiento en la prestación  del  servicio a la ciudadanía, en el marco de la Política Pública de Servicio a la Ciudadanía. </v>
      </c>
      <c r="AD52">
        <f>+IFERROR(IF(ISBLANK(VLOOKUP(CONCATENATE($F52,"_",AD$4),Ciudadano_2,MATCH(AD$3,Ciudadano!$F$23:$O$23,0),0)),"",VLOOKUP(CONCATENATE($F52,"_",AD$4),Ciudadano_2,MATCH(AD$3,Ciudadano!$F$23:$O$23,0),0)),"")</f>
        <v>104</v>
      </c>
      <c r="AE52" t="str">
        <f>+IFERROR(IF(ISBLANK(VLOOKUP(CONCATENATE($F52,"_",AE$4),Ciudadano_2,MATCH(AE$3,Ciudadano!$F$23:$O$23,0),0)),"",VLOOKUP(CONCATENATE($F52,"_",AE$4),Ciudadano_2,MATCH(AE$3,Ciudadano!$F$23:$O$23,0),0)),"")</f>
        <v/>
      </c>
      <c r="AF52" t="str">
        <f>+IFERROR(IF(ISBLANK(VLOOKUP(CONCATENATE($F52,"_",AF$4),Ciudadano_2,MATCH(AF$3,Ciudadano!$F$23:$O$23,0),0)),"",VLOOKUP(CONCATENATE($F52,"_",AF$4),Ciudadano_2,MATCH(AF$3,Ciudadano!$F$23:$O$23,0),0)),"")</f>
        <v>Durante el mes de febrero se realizaron seis  (6) jornadas de cualificación, en las cuales se alcanzó en total a 104 servidores(as) públicos y otros de la Administración Distrital y entidades presentes en la Red CADE, cualificándolos en sus conocimientos, habilidades y actitudes en el servicio a la ciudadanía, especificamente en temáticas de Conceptos de Servicio 
Las fuentes de verificación 2 archivos:
 1 archivo PDF "Asistencia Cualificación mes de febrero" contiene los listados de asistencia a las cualificaciones realizadas en el mes de febrero/2020.
1 archivo PDF Consolidado Cualificac febrero 2020</v>
      </c>
      <c r="AG52" t="str">
        <f>+IFERROR(IF(ISBLANK(VLOOKUP(CONCATENATE($F52,"_",AG$4),Ciudadano_2,MATCH(AG$3,Ciudadano!$F$23:$O$23,0),0)),"",VLOOKUP(CONCATENATE($F52,"_",AG$4),Ciudadano_2,MATCH(AG$3,Ciudadano!$F$23:$O$23,0),0)),"")</f>
        <v>N.A</v>
      </c>
      <c r="AH52" t="str">
        <f>+IFERROR(IF(ISBLANK(VLOOKUP(CONCATENATE($F52,"_",AH$4),Ciudadano_2,MATCH(AH$3,Ciudadano!$F$23:$O$23,0),0)),"",VLOOKUP(CONCATENATE($F52,"_",AH$4),Ciudadano_2,MATCH(AH$3,Ciudadano!$F$23:$O$23,0),0)),"")</f>
        <v xml:space="preserve">Se fortalecieron los conocimientos, habilidades y actitudes de 104 servidores(as) públicos y otros, de la Administración Distrital y entidades presentes en la Red CADE, para el mejoramiento en la prestación  del  servicio a la ciudadanía, en el marco de la Política Pública de Servicio a la Ciudadanía. </v>
      </c>
      <c r="AI52">
        <f>+IFERROR(IF(ISBLANK(VLOOKUP(CONCATENATE($F52,"_",AI$4),Ciudadano_2,MATCH(AI$3,Ciudadano!$F$23:$O$23,0),0)),"",VLOOKUP(CONCATENATE($F52,"_",AI$4),Ciudadano_2,MATCH(AI$3,Ciudadano!$F$23:$O$23,0),0)),"")</f>
        <v>207</v>
      </c>
      <c r="AJ52" t="str">
        <f>+IFERROR(IF(ISBLANK(VLOOKUP(CONCATENATE($F52,"_",AJ$4),Ciudadano_2,MATCH(AJ$3,Ciudadano!$F$23:$O$23,0),0)),"",VLOOKUP(CONCATENATE($F52,"_",AJ$4),Ciudadano_2,MATCH(AJ$3,Ciudadano!$F$23:$O$23,0),0)),"")</f>
        <v/>
      </c>
      <c r="AK52" t="str">
        <f>+IFERROR(IF(ISBLANK(VLOOKUP(CONCATENATE($F52,"_",AK$4),Ciudadano_2,MATCH(AK$3,Ciudadano!$F$23:$O$23,0),0)),"",VLOOKUP(CONCATENATE($F52,"_",AK$4),Ciudadano_2,MATCH(AK$3,Ciudadano!$F$23:$O$23,0),0)),"")</f>
        <v>Durante el mes de marzo se realizaron seis  (6) jornadas de cualificación, en las cuales se alcanzó en total a 207  servidores(as) públicos y otros de la Administración Distrital y entidades presentes en la Red CADE, cualificándolos en sus conocimientos, habilidades y actitudes en el servicio a la ciudadanía, especificamente en temáticas de Conceptos de Servicio 
Las  fuentes de verificación 2 archivos:
1 archivo PDF "Asistencia Cualificación mes de marzo" contiene los listados de asistencia a las cualificaciones realizadas en el mes de marzo/2020.
1 archivo PDF Consolidado Cualificac marzo 2020</v>
      </c>
      <c r="AL52" t="str">
        <f>+IFERROR(IF(ISBLANK(VLOOKUP(CONCATENATE($F52,"_",AL$4),Ciudadano_2,MATCH(AL$3,Ciudadano!$F$23:$O$23,0),0)),"",VLOOKUP(CONCATENATE($F52,"_",AL$4),Ciudadano_2,MATCH(AL$3,Ciudadano!$F$23:$O$23,0),0)),"")</f>
        <v>N.A</v>
      </c>
      <c r="AM52" t="str">
        <f>+IFERROR(IF(ISBLANK(VLOOKUP(CONCATENATE($F52,"_",AM$4),Ciudadano_2,MATCH(AM$3,Ciudadano!$F$23:$O$23,0),0)),"",VLOOKUP(CONCATENATE($F52,"_",AM$4),Ciudadano_2,MATCH(AM$3,Ciudadano!$F$23:$O$23,0),0)),"")</f>
        <v xml:space="preserve">Se fortalecieron los conocimientos, habilidades y actitudes de 207 servidores(as) públicos y otros, de la Administración Distrital y entidades presentes en la Red CADE, para el mejoramiento en la prestación  del  servicio a la ciudadanía, en el marco de la Política Pública de Servicio a la Ciudadanía. </v>
      </c>
      <c r="AN52">
        <f>+IFERROR(IF(ISBLANK(VLOOKUP(CONCATENATE($F52,"_",AN$4),Ciudadano_2,MATCH(AN$3,Ciudadano!$F$23:$O$23,0),0)),"",VLOOKUP(CONCATENATE($F52,"_",AN$4),Ciudadano_2,MATCH(AN$3,Ciudadano!$F$23:$O$23,0),0)),"")</f>
        <v>745</v>
      </c>
      <c r="AO52" t="str">
        <f>+IFERROR(IF(ISBLANK(VLOOKUP(CONCATENATE($F52,"_",AO$4),Ciudadano_2,MATCH(AO$3,Ciudadano!$F$23:$O$23,0),0)),"",VLOOKUP(CONCATENATE($F52,"_",AO$4),Ciudadano_2,MATCH(AO$3,Ciudadano!$F$23:$O$23,0),0)),"")</f>
        <v/>
      </c>
      <c r="AP52" t="str">
        <f>+IFERROR(IF(ISBLANK(VLOOKUP(CONCATENATE($F52,"_",AP$4),Ciudadano_2,MATCH(AP$3,Ciudadano!$F$23:$O$23,0),0)),"",VLOOKUP(CONCATENATE($F52,"_",AP$4),Ciudadano_2,MATCH(AP$3,Ciudadano!$F$23:$O$23,0),0)),"")</f>
        <v xml:space="preserve">Durante el mes de abril  se cualficaron   745 servidores(as) públicos y otros de la Administración Distrital y entidades presentes en la Red CADE, cualificándolos en sus conocimientos, habilidades y actitudes en el servicio a la ciudadanía (temáticas:  Conceptos de Servicio, Escuchando nuestro lenguaje,  Creando confianza, Resolución de Conflictos, Ética y transparencia,   Didácticas para una ciudadanía inconforme, Ver más allá con inteligencia social) mediante Herramientas virtuales, así:
Cualificados Herramienta E cualificación (Gamificación) : 570    
Cualificados Herramienta MEETS: 173    
Las fuentes de verificación 4 archivos: 
. "Archivo excell Reporte  Gamificacion servidores cualific abril"
. Archivo PDF Formato 211 Asistencia Cualific  Herramienta MEEDS (Se aclara qu el formato no cuenta con diligenciamiento de todos los datos teniendo en cuenta que los firmantes son   jóvenes de la Unidad de Prevención Integral de la Localidad de Bosa -IDIPRON ,  internados en dicha unidad, que  están en la última etapa del Modelo Pedagógico de IDIPRON,  para posteriormente ser seleccionados a participar  como servidores públicos en entidades distritales, que no cuentan con dichos datos).
. Archivo PDF Oficio de IDIPRON en donde se aclara que los jovenes no cuentan con correo ni teléfono.
1 archivo PDF Consolidado Cualificac. abril  2020
</v>
      </c>
      <c r="AQ52" t="str">
        <f>+IFERROR(IF(ISBLANK(VLOOKUP(CONCATENATE($F52,"_",AQ$4),Ciudadano_2,MATCH(AQ$3,Ciudadano!$F$23:$O$23,0),0)),"",VLOOKUP(CONCATENATE($F52,"_",AQ$4),Ciudadano_2,MATCH(AQ$3,Ciudadano!$F$23:$O$23,0),0)),"")</f>
        <v>N.A</v>
      </c>
      <c r="AR52" t="str">
        <f>+IFERROR(IF(ISBLANK(VLOOKUP(CONCATENATE($F52,"_",AR$4),Ciudadano_2,MATCH(AR$3,Ciudadano!$F$23:$O$23,0),0)),"",VLOOKUP(CONCATENATE($F52,"_",AR$4),Ciudadano_2,MATCH(AR$3,Ciudadano!$F$23:$O$23,0),0)),"")</f>
        <v xml:space="preserve">Se fortalecieron los conocimientos, habilidades y actitudes de 745 servidores(as) públicos y otros, de la Administración Distrital y entidades presentes en la Red CADE, para el mejoramiento en la prestación  del  servicio a la ciudadanía, en el marco de la Política Pública de Servicio a la Ciudadanía. </v>
      </c>
      <c r="AS52">
        <f>+IFERROR(IF(ISBLANK(VLOOKUP(CONCATENATE($F52,"_",AS$4),Ciudadano_2,MATCH(AS$3,Ciudadano!$F$23:$O$23,0),0)),"",VLOOKUP(CONCATENATE($F52,"_",AS$4),Ciudadano_2,MATCH(AS$3,Ciudadano!$F$23:$O$23,0),0)),"")</f>
        <v>777</v>
      </c>
      <c r="AT52" t="str">
        <f>+IFERROR(IF(ISBLANK(VLOOKUP(CONCATENATE($F52,"_",AT$4),Ciudadano_2,MATCH(AT$3,Ciudadano!$F$23:$O$23,0),0)),"",VLOOKUP(CONCATENATE($F52,"_",AT$4),Ciudadano_2,MATCH(AT$3,Ciudadano!$F$23:$O$23,0),0)),"")</f>
        <v/>
      </c>
      <c r="AU52" t="str">
        <f>+IFERROR(IF(ISBLANK(VLOOKUP(CONCATENATE($F52,"_",AU$4),Ciudadano_2,MATCH(AU$3,Ciudadano!$F$23:$O$23,0),0)),"",VLOOKUP(CONCATENATE($F52,"_",AU$4),Ciudadano_2,MATCH(AU$3,Ciudadano!$F$23:$O$23,0),0)),"")</f>
        <v>Durante el mes de mayo  se cualficaron   777 servidores(as) públicos y otros de la Administración Distrital y entidades presentes en la Red CADE, cualificándolos en sus conocimientos, habilidades y actitudes en el servicio a la ciudadanía (temáticas:  Conceptos de Servicio, Escuchando nuestro lenguaje,  Creando confianza, Resolución de Conflictos, Ética y transparencial) mediante Herramientas virtuales, así:
Cualificados Herramienta E cualificación (Gamificación) : 728
Cualificados Herramienta MEETS: 49 .
Las fuentes de verificación 5 archivos: 
. "Archivo excel Reporte  Gamificacion servidores cualificados mayo"
. Archivo PDF Formato 211 Asistencia Cualific  -IDIPRON -Herramienta MEEDS-18 Mayo/2020.
.Archivo Excel  Formato FT 211 Asistencia  Cualif  IDRD -Herramienta MEEDs 26 mayo/2020. - El formato  fue diligenciado digitalmente por parte del enlace de IDRD, según lo acordado con la entidad en reunión inicial, para facilitar el diligenciamiento de los formatos propios del Procedimiento de Cualificación,  como medida de Prevención del COVID-19 (se anexa  copia acta Reunión).
. Archivo PDF copia Acta Reunión IDRD.
1 archivo PDF Consolidado Cualificac. mayo  2020</v>
      </c>
      <c r="AV52" t="str">
        <f>+IFERROR(IF(ISBLANK(VLOOKUP(CONCATENATE($F52,"_",AV$4),Ciudadano_2,MATCH(AV$3,Ciudadano!$F$23:$O$23,0),0)),"",VLOOKUP(CONCATENATE($F52,"_",AV$4),Ciudadano_2,MATCH(AV$3,Ciudadano!$F$23:$O$23,0),0)),"")</f>
        <v>N/A</v>
      </c>
      <c r="AW52" t="str">
        <f>+IFERROR(IF(ISBLANK(VLOOKUP(CONCATENATE($F52,"_",AW$4),Ciudadano_2,MATCH(AW$3,Ciudadano!$F$23:$O$23,0),0)),"",VLOOKUP(CONCATENATE($F52,"_",AW$4),Ciudadano_2,MATCH(AW$3,Ciudadano!$F$23:$O$23,0),0)),"")</f>
        <v xml:space="preserve">Se fortalecieron los conocimientos, habilidades y actitudes de 777 servidores(as) públicos y otros, de la Administración Distrital y entidades presentes en la Red CADE, para el mejoramiento en la prestación  del  servicio a la ciudadanía, en el marco de la Política Pública de Servicio a la Ciudadanía. </v>
      </c>
      <c r="AX52">
        <f>+IFERROR(IF(ISBLANK(VLOOKUP(CONCATENATE($F52,"_",AX$4),Ciudadano_2,MATCH(AX$3,Ciudadano!$F$23:$O$23,0),0)),"",VLOOKUP(CONCATENATE($F52,"_",AX$4),Ciudadano_2,MATCH(AX$3,Ciudadano!$F$23:$O$23,0),0)),"")</f>
        <v>810</v>
      </c>
      <c r="AY52" t="str">
        <f>+IFERROR(IF(ISBLANK(VLOOKUP(CONCATENATE($F52,"_",AY$4),Ciudadano_2,MATCH(AY$3,Ciudadano!$F$23:$O$23,0),0)),"",VLOOKUP(CONCATENATE($F52,"_",AY$4),Ciudadano_2,MATCH(AY$3,Ciudadano!$F$23:$O$23,0),0)),"")</f>
        <v/>
      </c>
      <c r="AZ52" t="str">
        <f>+IFERROR(IF(ISBLANK(VLOOKUP(CONCATENATE($F52,"_",AZ$4),Ciudadano_2,MATCH(AZ$3,Ciudadano!$F$23:$O$23,0),0)),"",VLOOKUP(CONCATENATE($F52,"_",AZ$4),Ciudadano_2,MATCH(AZ$3,Ciudadano!$F$23:$O$23,0),0)),"")</f>
        <v>Durante el mes de junio  se cualficaron   810 servidores(as) públicos y otros de la Administración Distrital y entidades presentes en la Red CADE, cualificándolos en sus conocimientos, habilidades y actitudes en el servicio a la ciudadanía (temáticas:  Estrategias humanas efectivas,  Escuchando nuestro lenguaje, Conceptos de Servicio,  Creando confianza, Resolución de Conflictos, Ética y transparencial) mediante Herramientas virtuales, e interactivo presencial así:
Interactivo presencial: 11
Cualificados Herramienta MEETS: 41
Cualificados Herramienta E cualificación (Gamificación) : 758</v>
      </c>
      <c r="BA52" t="str">
        <f>+IFERROR(IF(ISBLANK(VLOOKUP(CONCATENATE($F52,"_",BA$4),Ciudadano_2,MATCH(BA$3,Ciudadano!$F$23:$O$23,0),0)),"",VLOOKUP(CONCATENATE($F52,"_",BA$4),Ciudadano_2,MATCH(BA$3,Ciudadano!$F$23:$O$23,0),0)),"")</f>
        <v>N.A</v>
      </c>
      <c r="BB52" t="str">
        <f>+IFERROR(IF(ISBLANK(VLOOKUP(CONCATENATE($F52,"_",BB$4),Ciudadano_2,MATCH(BB$3,Ciudadano!$F$23:$O$23,0),0)),"",VLOOKUP(CONCATENATE($F52,"_",BB$4),Ciudadano_2,MATCH(BB$3,Ciudadano!$F$23:$O$23,0),0)),"")</f>
        <v xml:space="preserve">Se fortalecieron los conocimientos, habilidades y actitudes de 810  servidores(as) públicos y otros, de la Administración Distrital y entidades presentes en la Red CADE, para el mejoramiento en la prestación  del  servicio a la ciudadanía, en el marco de la Política Pública de Servicio a la Ciudadanía. </v>
      </c>
      <c r="BC52">
        <f t="shared" si="10"/>
        <v>2654</v>
      </c>
      <c r="BD52">
        <f t="shared" si="10"/>
        <v>0</v>
      </c>
      <c r="CI52" t="str">
        <f t="shared" si="36"/>
        <v>Cumple</v>
      </c>
      <c r="CJ52" t="str">
        <f t="shared" si="36"/>
        <v>Cumplido</v>
      </c>
      <c r="CK52" t="str">
        <f t="shared" si="36"/>
        <v>Adecuado</v>
      </c>
      <c r="CL52" t="str">
        <f t="shared" si="36"/>
        <v>Coherente</v>
      </c>
      <c r="CM52" t="str">
        <f t="shared" si="36"/>
        <v>Concuerda</v>
      </c>
      <c r="CN52" t="str">
        <f t="shared" si="36"/>
        <v>Concuerda</v>
      </c>
      <c r="CO52">
        <f t="shared" si="36"/>
        <v>0</v>
      </c>
      <c r="CP52" t="str">
        <f t="shared" si="36"/>
        <v>Adecuado</v>
      </c>
      <c r="CQ52" t="str">
        <f t="shared" si="36"/>
        <v>Oportuna</v>
      </c>
      <c r="CR52" t="str">
        <f t="shared" si="36"/>
        <v>Ninguna</v>
      </c>
      <c r="CS52" t="str">
        <f t="shared" si="37"/>
        <v>Marcela Andrea García Guerrero</v>
      </c>
      <c r="CT52" t="str">
        <f t="shared" si="37"/>
        <v>Cumple</v>
      </c>
      <c r="CU52" t="str">
        <f t="shared" si="37"/>
        <v>Cumplido</v>
      </c>
      <c r="CV52" t="str">
        <f t="shared" si="37"/>
        <v>Adecuado</v>
      </c>
      <c r="CW52" t="str">
        <f t="shared" si="37"/>
        <v>Coherente</v>
      </c>
      <c r="CX52" t="str">
        <f t="shared" si="37"/>
        <v>Concuerda</v>
      </c>
      <c r="CY52" t="str">
        <f t="shared" si="37"/>
        <v>Concuerda</v>
      </c>
      <c r="CZ52">
        <f t="shared" si="37"/>
        <v>0</v>
      </c>
      <c r="DA52" t="str">
        <f t="shared" si="37"/>
        <v>Adecuado</v>
      </c>
      <c r="DB52" t="str">
        <f t="shared" si="37"/>
        <v>Oportuna</v>
      </c>
      <c r="DC52" t="str">
        <f t="shared" si="38"/>
        <v>Ninguna</v>
      </c>
      <c r="DD52" t="str">
        <f t="shared" si="38"/>
        <v>Marcela Andrea García Guerrero</v>
      </c>
      <c r="DE52" t="e">
        <f t="shared" si="38"/>
        <v>#REF!</v>
      </c>
      <c r="DF52" t="e">
        <f t="shared" si="38"/>
        <v>#REF!</v>
      </c>
      <c r="DG52" t="e">
        <f t="shared" si="38"/>
        <v>#REF!</v>
      </c>
      <c r="DH52" t="e">
        <f t="shared" si="38"/>
        <v>#REF!</v>
      </c>
      <c r="DI52" t="e">
        <f t="shared" si="38"/>
        <v>#REF!</v>
      </c>
      <c r="DJ52" t="e">
        <f t="shared" si="38"/>
        <v>#REF!</v>
      </c>
      <c r="DK52" t="e">
        <f t="shared" si="38"/>
        <v>#REF!</v>
      </c>
      <c r="DL52" t="e">
        <f t="shared" si="38"/>
        <v>#REF!</v>
      </c>
      <c r="DM52" t="e">
        <f t="shared" si="39"/>
        <v>#REF!</v>
      </c>
      <c r="DN52" t="e">
        <f t="shared" si="39"/>
        <v>#REF!</v>
      </c>
      <c r="DO52" t="e">
        <f t="shared" si="39"/>
        <v>#REF!</v>
      </c>
      <c r="DP52" t="e">
        <f t="shared" si="39"/>
        <v>#REF!</v>
      </c>
      <c r="DQ52" t="e">
        <f t="shared" si="39"/>
        <v>#REF!</v>
      </c>
      <c r="DR52" t="e">
        <f t="shared" si="39"/>
        <v>#REF!</v>
      </c>
      <c r="DS52" t="e">
        <f t="shared" si="39"/>
        <v>#REF!</v>
      </c>
      <c r="DT52" t="e">
        <f t="shared" si="39"/>
        <v>#REF!</v>
      </c>
      <c r="DU52" t="e">
        <f t="shared" si="39"/>
        <v>#REF!</v>
      </c>
      <c r="DV52" t="e">
        <f t="shared" si="39"/>
        <v>#REF!</v>
      </c>
      <c r="DW52" t="e">
        <f t="shared" si="39"/>
        <v>#REF!</v>
      </c>
      <c r="DX52" t="e">
        <f t="shared" si="39"/>
        <v>#REF!</v>
      </c>
    </row>
    <row r="53" spans="1:128" x14ac:dyDescent="0.3">
      <c r="A53" s="423">
        <f t="shared" si="41"/>
        <v>69</v>
      </c>
      <c r="B53" t="str">
        <f t="shared" si="42"/>
        <v>4_Dirección Distrital de Calidad del Servicio</v>
      </c>
      <c r="C53">
        <f t="shared" si="8"/>
        <v>4</v>
      </c>
      <c r="D53" t="str">
        <f t="shared" si="0"/>
        <v>Dirección Distrital de Calidad del Servicio</v>
      </c>
      <c r="E53" t="str">
        <f t="shared" si="43"/>
        <v>cal</v>
      </c>
      <c r="F53" s="208">
        <f>Ciudadano!D17</f>
        <v>69</v>
      </c>
      <c r="G53" t="str">
        <f t="shared" si="30"/>
        <v>Constante</v>
      </c>
      <c r="H53" t="str">
        <f t="shared" si="30"/>
        <v>Número</v>
      </c>
      <c r="I53">
        <f t="shared" si="30"/>
        <v>16</v>
      </c>
      <c r="J53">
        <f t="shared" si="30"/>
        <v>22</v>
      </c>
      <c r="K53" t="str">
        <f>+IFERROR(VLOOKUP($F53,Ciudadano_1,MATCH(K$5,Ciudadano!$D$9:$V$9,0),0),"")</f>
        <v>Suma</v>
      </c>
      <c r="L53">
        <f>+IFERROR(VLOOKUP($F53,Ciudadano_1,MATCH(L$5,Ciudadano!$D$9:$V$9,0),0),"")</f>
        <v>10</v>
      </c>
      <c r="M53">
        <f t="shared" si="40"/>
        <v>3</v>
      </c>
      <c r="N53">
        <f>+IFERROR(VLOOKUP($F53,Ciudadano_1,MATCH(N$5,Ciudadano!$D$9:$V$9,0),0),"")</f>
        <v>0</v>
      </c>
      <c r="O53">
        <f>+IFERROR(VLOOKUP($F53,Ciudadano_1,MATCH(O$5,Ciudadano!$D$9:$V$9,0),0),"")</f>
        <v>1</v>
      </c>
      <c r="P53">
        <f>+IFERROR(VLOOKUP($F53,Ciudadano_1,MATCH(P$5,Ciudadano!$D$9:$V$9,0),0),"")</f>
        <v>2</v>
      </c>
      <c r="Q53">
        <f>+IFERROR(VLOOKUP($F53,Ciudadano_1,MATCH(Q$5,Ciudadano!$D$9:$V$9,0),0),"")</f>
        <v>3</v>
      </c>
      <c r="R53">
        <f>+IFERROR(VLOOKUP($F53,Ciudadano_1,MATCH(R$5,Ciudadano!$D$9:$V$9,0),0),"")</f>
        <v>2</v>
      </c>
      <c r="S53">
        <f>+IFERROR(VLOOKUP($F53,Ciudadano_1,MATCH(S$5,Ciudadano!$D$9:$V$9,0),0),"")</f>
        <v>2</v>
      </c>
      <c r="T53">
        <f>+IFERROR(VLOOKUP($F53,Ciudadano_1,MATCH(T$5,Ciudadano!$D$9:$V$9,0),0),"")</f>
        <v>10</v>
      </c>
      <c r="U53" t="str">
        <f>+IFERROR(VLOOKUP($F53,Ciudadano_1,MATCH(U$5,Ciudadano!$D$9:$V$9,0),0),"")</f>
        <v xml:space="preserve">Mide el No de capacitaciones en  la funcionalidad, configuración, manejo y uso general de la herramienta Bogotá te Escucha-Sistema Distrital para la Gestión de Peticiones Ciudadanas, realizadas a sus administradores y/o usuarios 
</v>
      </c>
      <c r="V53" t="str">
        <f>+IFERROR(VLOOKUP($F53,Ciudadano_1,MATCH(V$5,Ciudadano!$D$9:$V$9,0),0),"")</f>
        <v>• Capacitar a los administradores del Sistema Distrital para la Gestión de Peticiones Ciudadanas, de las entidades distritales, en funcionalidad, configuración, uso y manejo del sistema.</v>
      </c>
      <c r="W53" t="str">
        <f>+IFERROR(VLOOKUP($F53,Ciudadano_1,MATCH(W$5,Ciudadano!$D$9:$V$9,0),0),"")</f>
        <v xml:space="preserve">La capacitación funcional fortalece las competencias de los servidores para operar y administrar el Sistema Distrital para la gestión de peticiones ciudadanas.     </v>
      </c>
      <c r="X53" t="str">
        <f>+IFERROR(VLOOKUP($F53,Ciudadano_1,MATCH(X$5,Ciudadano!$D$9:$V$9,0),0),"")</f>
        <v>Registros de Asistencia  (Formato 2211300-FT-211 PDF)</v>
      </c>
      <c r="Y53">
        <f>+IFERROR(IF(ISBLANK(VLOOKUP(CONCATENATE($F53,"_",Y$4),Ciudadano_2,MATCH(Y$3,Ciudadano!$F$23:$O$23,0),0)),"",VLOOKUP(CONCATENATE($F53,"_",Y$4),Ciudadano_2,MATCH(Y$3,Ciudadano!$F$23:$O$23,0),0)),"")</f>
        <v>0</v>
      </c>
      <c r="Z53" t="str">
        <f>+IFERROR(IF(ISBLANK(VLOOKUP(CONCATENATE($F53,"_",Z$4),Ciudadano_2,MATCH(Z$3,Ciudadano!$F$23:$O$23,0),0)),"",VLOOKUP(CONCATENATE($F53,"_",Z$4),Ciudadano_2,MATCH(Z$3,Ciudadano!$F$23:$O$23,0),0)),"")</f>
        <v/>
      </c>
      <c r="AA53" t="str">
        <f>+IFERROR(IF(ISBLANK(VLOOKUP(CONCATENATE($F53,"_",AA$4),Ciudadano_2,MATCH(AA$3,Ciudadano!$F$23:$O$23,0),0)),"",VLOOKUP(CONCATENATE($F53,"_",AA$4),Ciudadano_2,MATCH(AA$3,Ciudadano!$F$23:$O$23,0),0)),"")</f>
        <v>N.A</v>
      </c>
      <c r="AB53" t="str">
        <f>+IFERROR(IF(ISBLANK(VLOOKUP(CONCATENATE($F53,"_",AB$4),Ciudadano_2,MATCH(AB$3,Ciudadano!$F$23:$O$23,0),0)),"",VLOOKUP(CONCATENATE($F53,"_",AB$4),Ciudadano_2,MATCH(AB$3,Ciudadano!$F$23:$O$23,0),0)),"")</f>
        <v>N.A</v>
      </c>
      <c r="AC53" t="str">
        <f>+IFERROR(IF(ISBLANK(VLOOKUP(CONCATENATE($F53,"_",AC$4),Ciudadano_2,MATCH(AC$3,Ciudadano!$F$23:$O$23,0),0)),"",VLOOKUP(CONCATENATE($F53,"_",AC$4),Ciudadano_2,MATCH(AC$3,Ciudadano!$F$23:$O$23,0),0)),"")</f>
        <v>N.A</v>
      </c>
      <c r="AD53">
        <f>+IFERROR(IF(ISBLANK(VLOOKUP(CONCATENATE($F53,"_",AD$4),Ciudadano_2,MATCH(AD$3,Ciudadano!$F$23:$O$23,0),0)),"",VLOOKUP(CONCATENATE($F53,"_",AD$4),Ciudadano_2,MATCH(AD$3,Ciudadano!$F$23:$O$23,0),0)),"")</f>
        <v>1</v>
      </c>
      <c r="AE53" t="str">
        <f>+IFERROR(IF(ISBLANK(VLOOKUP(CONCATENATE($F53,"_",AE$4),Ciudadano_2,MATCH(AE$3,Ciudadano!$F$23:$O$23,0),0)),"",VLOOKUP(CONCATENATE($F53,"_",AE$4),Ciudadano_2,MATCH(AE$3,Ciudadano!$F$23:$O$23,0),0)),"")</f>
        <v/>
      </c>
      <c r="AF53" t="str">
        <f>+IFERROR(IF(ISBLANK(VLOOKUP(CONCATENATE($F53,"_",AF$4),Ciudadano_2,MATCH(AF$3,Ciudadano!$F$23:$O$23,0),0)),"",VLOOKUP(CONCATENATE($F53,"_",AF$4),Ciudadano_2,MATCH(AF$3,Ciudadano!$F$23:$O$23,0),0)),"")</f>
        <v xml:space="preserve">En el mes de febrero se realizó una  (1)  capacitación a  administradores y/o usuarios  del Sistema Distrital para la Gestión de Peticiones Ciudadanas , en la funcionalidad, configuración, manejo y uso general  del sistema. </v>
      </c>
      <c r="AG53" t="str">
        <f>+IFERROR(IF(ISBLANK(VLOOKUP(CONCATENATE($F53,"_",AG$4),Ciudadano_2,MATCH(AG$3,Ciudadano!$F$23:$O$23,0),0)),"",VLOOKUP(CONCATENATE($F53,"_",AG$4),Ciudadano_2,MATCH(AG$3,Ciudadano!$F$23:$O$23,0),0)),"")</f>
        <v>N.A</v>
      </c>
      <c r="AH53" t="str">
        <f>+IFERROR(IF(ISBLANK(VLOOKUP(CONCATENATE($F53,"_",AH$4),Ciudadano_2,MATCH(AH$3,Ciudadano!$F$23:$O$23,0),0)),"",VLOOKUP(CONCATENATE($F53,"_",AH$4),Ciudadano_2,MATCH(AH$3,Ciudadano!$F$23:$O$23,0),0)),"")</f>
        <v xml:space="preserve">Se  fortalecieron las competencias de 12 servidores para operar y administrar el Sistema Distrital para la gestión de peticiones ciudadanas.     </v>
      </c>
      <c r="AI53">
        <f>+IFERROR(IF(ISBLANK(VLOOKUP(CONCATENATE($F53,"_",AI$4),Ciudadano_2,MATCH(AI$3,Ciudadano!$F$23:$O$23,0),0)),"",VLOOKUP(CONCATENATE($F53,"_",AI$4),Ciudadano_2,MATCH(AI$3,Ciudadano!$F$23:$O$23,0),0)),"")</f>
        <v>2</v>
      </c>
      <c r="AJ53" t="str">
        <f>+IFERROR(IF(ISBLANK(VLOOKUP(CONCATENATE($F53,"_",AJ$4),Ciudadano_2,MATCH(AJ$3,Ciudadano!$F$23:$O$23,0),0)),"",VLOOKUP(CONCATENATE($F53,"_",AJ$4),Ciudadano_2,MATCH(AJ$3,Ciudadano!$F$23:$O$23,0),0)),"")</f>
        <v/>
      </c>
      <c r="AK53" t="str">
        <f>+IFERROR(IF(ISBLANK(VLOOKUP(CONCATENATE($F53,"_",AK$4),Ciudadano_2,MATCH(AK$3,Ciudadano!$F$23:$O$23,0),0)),"",VLOOKUP(CONCATENATE($F53,"_",AK$4),Ciudadano_2,MATCH(AK$3,Ciudadano!$F$23:$O$23,0),0)),"")</f>
        <v xml:space="preserve">En el mes de marzo se realizaron dos  (2)  capacitaciones a  administradores y/o usuarios  del Sistema Distrital para la Gestión de Peticiones Ciudadanas , en la funcionalidad, configuración, manejo y uso general  del sistema. </v>
      </c>
      <c r="AL53" t="str">
        <f>+IFERROR(IF(ISBLANK(VLOOKUP(CONCATENATE($F53,"_",AL$4),Ciudadano_2,MATCH(AL$3,Ciudadano!$F$23:$O$23,0),0)),"",VLOOKUP(CONCATENATE($F53,"_",AL$4),Ciudadano_2,MATCH(AL$3,Ciudadano!$F$23:$O$23,0),0)),"")</f>
        <v>N.A</v>
      </c>
      <c r="AM53" t="str">
        <f>+IFERROR(IF(ISBLANK(VLOOKUP(CONCATENATE($F53,"_",AM$4),Ciudadano_2,MATCH(AM$3,Ciudadano!$F$23:$O$23,0),0)),"",VLOOKUP(CONCATENATE($F53,"_",AM$4),Ciudadano_2,MATCH(AM$3,Ciudadano!$F$23:$O$23,0),0)),"")</f>
        <v xml:space="preserve">Se  fortalecieron las competencias de 37 servidores para operar y administrar el Sistema Distrital para la gestión de peticiones ciudadanas.     </v>
      </c>
      <c r="AN53">
        <f>+IFERROR(IF(ISBLANK(VLOOKUP(CONCATENATE($F53,"_",AN$4),Ciudadano_2,MATCH(AN$3,Ciudadano!$F$23:$O$23,0),0)),"",VLOOKUP(CONCATENATE($F53,"_",AN$4),Ciudadano_2,MATCH(AN$3,Ciudadano!$F$23:$O$23,0),0)),"")</f>
        <v>4</v>
      </c>
      <c r="AO53" t="str">
        <f>+IFERROR(IF(ISBLANK(VLOOKUP(CONCATENATE($F53,"_",AO$4),Ciudadano_2,MATCH(AO$3,Ciudadano!$F$23:$O$23,0),0)),"",VLOOKUP(CONCATENATE($F53,"_",AO$4),Ciudadano_2,MATCH(AO$3,Ciudadano!$F$23:$O$23,0),0)),"")</f>
        <v/>
      </c>
      <c r="AP53" t="str">
        <f>+IFERROR(IF(ISBLANK(VLOOKUP(CONCATENATE($F53,"_",AP$4),Ciudadano_2,MATCH(AP$3,Ciudadano!$F$23:$O$23,0),0)),"",VLOOKUP(CONCATENATE($F53,"_",AP$4),Ciudadano_2,MATCH(AP$3,Ciudadano!$F$23:$O$23,0),0)),"")</f>
        <v xml:space="preserve">En el mes de abril se realizaron cuatro  (4)  capacitaciones a  administradores y/o usuarios  del Sistema Distrital para la Gestión de Peticiones Ciudadanas , en la funcionalidad, configuración, manejo y uso general  del sistema. </v>
      </c>
      <c r="AQ53" t="str">
        <f>+IFERROR(IF(ISBLANK(VLOOKUP(CONCATENATE($F53,"_",AQ$4),Ciudadano_2,MATCH(AQ$3,Ciudadano!$F$23:$O$23,0),0)),"",VLOOKUP(CONCATENATE($F53,"_",AQ$4),Ciudadano_2,MATCH(AQ$3,Ciudadano!$F$23:$O$23,0),0)),"")</f>
        <v>N.A</v>
      </c>
      <c r="AR53" t="str">
        <f>+IFERROR(IF(ISBLANK(VLOOKUP(CONCATENATE($F53,"_",AR$4),Ciudadano_2,MATCH(AR$3,Ciudadano!$F$23:$O$23,0),0)),"",VLOOKUP(CONCATENATE($F53,"_",AR$4),Ciudadano_2,MATCH(AR$3,Ciudadano!$F$23:$O$23,0),0)),"")</f>
        <v xml:space="preserve">Se  fortalecieron las competencias de 82  servidores para operar y administrar el Sistema Distrital para la gestión de peticiones ciudadanas.     </v>
      </c>
      <c r="AS53">
        <f>+IFERROR(IF(ISBLANK(VLOOKUP(CONCATENATE($F53,"_",AS$4),Ciudadano_2,MATCH(AS$3,Ciudadano!$F$23:$O$23,0),0)),"",VLOOKUP(CONCATENATE($F53,"_",AS$4),Ciudadano_2,MATCH(AS$3,Ciudadano!$F$23:$O$23,0),0)),"")</f>
        <v>2</v>
      </c>
      <c r="AT53" t="str">
        <f>+IFERROR(IF(ISBLANK(VLOOKUP(CONCATENATE($F53,"_",AT$4),Ciudadano_2,MATCH(AT$3,Ciudadano!$F$23:$O$23,0),0)),"",VLOOKUP(CONCATENATE($F53,"_",AT$4),Ciudadano_2,MATCH(AT$3,Ciudadano!$F$23:$O$23,0),0)),"")</f>
        <v/>
      </c>
      <c r="AU53" t="str">
        <f>+IFERROR(IF(ISBLANK(VLOOKUP(CONCATENATE($F53,"_",AU$4),Ciudadano_2,MATCH(AU$3,Ciudadano!$F$23:$O$23,0),0)),"",VLOOKUP(CONCATENATE($F53,"_",AU$4),Ciudadano_2,MATCH(AU$3,Ciudadano!$F$23:$O$23,0),0)),"")</f>
        <v xml:space="preserve">En el mes de mayo se realizaron dos  (2)  capacitaciones a  administradores y/o usuarios  del Sistema Distrital para la Gestión de Peticiones Ciudadanas , en la funcionalidad, configuración, manejo y uso general  del sistema. </v>
      </c>
      <c r="AV53" t="str">
        <f>+IFERROR(IF(ISBLANK(VLOOKUP(CONCATENATE($F53,"_",AV$4),Ciudadano_2,MATCH(AV$3,Ciudadano!$F$23:$O$23,0),0)),"",VLOOKUP(CONCATENATE($F53,"_",AV$4),Ciudadano_2,MATCH(AV$3,Ciudadano!$F$23:$O$23,0),0)),"")</f>
        <v>N.A</v>
      </c>
      <c r="AW53" t="str">
        <f>+IFERROR(IF(ISBLANK(VLOOKUP(CONCATENATE($F53,"_",AW$4),Ciudadano_2,MATCH(AW$3,Ciudadano!$F$23:$O$23,0),0)),"",VLOOKUP(CONCATENATE($F53,"_",AW$4),Ciudadano_2,MATCH(AW$3,Ciudadano!$F$23:$O$23,0),0)),"")</f>
        <v xml:space="preserve">Se  fortalecieron las competencias de 19  servidores para operar y administrar el Sistema Distrital para la gestión de peticiones ciudadanas.     </v>
      </c>
      <c r="AX53">
        <f>+IFERROR(IF(ISBLANK(VLOOKUP(CONCATENATE($F53,"_",AX$4),Ciudadano_2,MATCH(AX$3,Ciudadano!$F$23:$O$23,0),0)),"",VLOOKUP(CONCATENATE($F53,"_",AX$4),Ciudadano_2,MATCH(AX$3,Ciudadano!$F$23:$O$23,0),0)),"")</f>
        <v>2</v>
      </c>
      <c r="AY53" t="str">
        <f>+IFERROR(IF(ISBLANK(VLOOKUP(CONCATENATE($F53,"_",AY$4),Ciudadano_2,MATCH(AY$3,Ciudadano!$F$23:$O$23,0),0)),"",VLOOKUP(CONCATENATE($F53,"_",AY$4),Ciudadano_2,MATCH(AY$3,Ciudadano!$F$23:$O$23,0),0)),"")</f>
        <v/>
      </c>
      <c r="AZ53" t="str">
        <f>+IFERROR(IF(ISBLANK(VLOOKUP(CONCATENATE($F53,"_",AZ$4),Ciudadano_2,MATCH(AZ$3,Ciudadano!$F$23:$O$23,0),0)),"",VLOOKUP(CONCATENATE($F53,"_",AZ$4),Ciudadano_2,MATCH(AZ$3,Ciudadano!$F$23:$O$23,0),0)),"")</f>
        <v xml:space="preserve">En el mes de junio  se realizaron dos  (2)  capacitaciones a  administradores y/o usuarios  del Sistema Distrital para la Gestión de Peticiones Ciudadanas , en la funcionalidad, configuración, manejo y uso general  del sistema. </v>
      </c>
      <c r="BA53" t="str">
        <f>+IFERROR(IF(ISBLANK(VLOOKUP(CONCATENATE($F53,"_",BA$4),Ciudadano_2,MATCH(BA$3,Ciudadano!$F$23:$O$23,0),0)),"",VLOOKUP(CONCATENATE($F53,"_",BA$4),Ciudadano_2,MATCH(BA$3,Ciudadano!$F$23:$O$23,0),0)),"")</f>
        <v>N.A</v>
      </c>
      <c r="BB53" t="str">
        <f>+IFERROR(IF(ISBLANK(VLOOKUP(CONCATENATE($F53,"_",BB$4),Ciudadano_2,MATCH(BB$3,Ciudadano!$F$23:$O$23,0),0)),"",VLOOKUP(CONCATENATE($F53,"_",BB$4),Ciudadano_2,MATCH(BB$3,Ciudadano!$F$23:$O$23,0),0)),"")</f>
        <v xml:space="preserve">Se  fortalecieron las competencias de 25  servidores(as) para operar y administrar el Sistema Distrital para la gestión de peticiones ciudadanas.     </v>
      </c>
      <c r="BC53">
        <f t="shared" si="10"/>
        <v>11</v>
      </c>
      <c r="BD53">
        <f t="shared" si="10"/>
        <v>0</v>
      </c>
      <c r="BE53" s="129" t="str">
        <f>+IFERROR(IF(ISBLANK(VLOOKUP(CONCATENATE($F53,"_",BE$4),P1156_4,MATCH(BE$3,PAAC!$E$19:$M$19,0),0)),"",VLOOKUP(CONCATENATE($F53,"_",BE$4),P1156_4,MATCH(BE$3,PAAC!$E$19:$M$19,0),0)),"")</f>
        <v/>
      </c>
      <c r="BF53" s="129" t="str">
        <f>+IFERROR(IF(ISBLANK(VLOOKUP(CONCATENATE($F53,"_",BF$4),P1156_4,MATCH(BF$3,PAAC!$E$19:$M$19,0),0)),"",VLOOKUP(CONCATENATE($F53,"_",BF$4),P1156_4,MATCH(BF$3,PAAC!$E$19:$M$19,0),0)),"")</f>
        <v/>
      </c>
      <c r="BG53" s="129" t="str">
        <f>+IFERROR(IF(ISBLANK(VLOOKUP(CONCATENATE($F53,"_",BG$4),P1156_4,MATCH(BG$3,PAAC!$E$19:$M$19,0),0)),"",VLOOKUP(CONCATENATE($F53,"_",BG$4),P1156_4,MATCH(BG$3,PAAC!$E$19:$M$19,0),0)),"")</f>
        <v/>
      </c>
      <c r="BH53" s="129" t="str">
        <f>+IFERROR(IF(ISBLANK(VLOOKUP(CONCATENATE($F53,"_",BH$4),P1156_4,MATCH(BH$3,PAAC!$E$19:$M$19,0),0)),"",VLOOKUP(CONCATENATE($F53,"_",BH$4),P1156_4,MATCH(BH$3,PAAC!$E$19:$M$19,0),0)),"")</f>
        <v/>
      </c>
      <c r="BI53" s="129" t="str">
        <f>+IFERROR(IF(ISBLANK(VLOOKUP(CONCATENATE($F53,"_",BI$4),P1156_4,MATCH(BI$3,PAAC!$E$19:$M$19,0),0)),"",VLOOKUP(CONCATENATE($F53,"_",BI$4),P1156_4,MATCH(BI$3,PAAC!$E$19:$M$19,0),0)),"")</f>
        <v/>
      </c>
      <c r="BJ53" s="129" t="str">
        <f>+IFERROR(IF(ISBLANK(VLOOKUP(CONCATENATE($F53,"_",BJ$4),P1156_4,MATCH(BJ$3,PAAC!$E$19:$M$19,0),0)),"",VLOOKUP(CONCATENATE($F53,"_",BJ$4),P1156_4,MATCH(BJ$3,PAAC!$E$19:$M$19,0),0)),"")</f>
        <v/>
      </c>
      <c r="BK53" s="129" t="str">
        <f>+IFERROR(IF(ISBLANK(VLOOKUP(CONCATENATE($F53,"_",BK$4),P1156_4,MATCH(BK$3,PAAC!$E$19:$M$19,0),0)),"",VLOOKUP(CONCATENATE($F53,"_",BK$4),P1156_4,MATCH(BK$3,PAAC!$E$19:$M$19,0),0)),"")</f>
        <v/>
      </c>
      <c r="BL53" s="129" t="str">
        <f>+IFERROR(IF(ISBLANK(VLOOKUP(CONCATENATE($F53,"_",BL$4),P1156_4,MATCH(BL$3,PAAC!$E$19:$M$19,0),0)),"",VLOOKUP(CONCATENATE($F53,"_",BL$4),P1156_4,MATCH(BL$3,PAAC!$E$19:$M$19,0),0)),"")</f>
        <v/>
      </c>
      <c r="BM53" s="129" t="str">
        <f>+IFERROR(IF(ISBLANK(VLOOKUP(CONCATENATE($F53,"_",BM$4),P1156_4,MATCH(BM$3,PAAC!$E$19:$M$19,0),0)),"",VLOOKUP(CONCATENATE($F53,"_",BM$4),P1156_4,MATCH(BM$3,PAAC!$E$19:$M$19,0),0)),"")</f>
        <v/>
      </c>
      <c r="BN53" s="129" t="str">
        <f>+IFERROR(IF(ISBLANK(VLOOKUP(CONCATENATE($F53,"_",BN$4),P1156_4,MATCH(BN$3,PAAC!$E$19:$M$19,0),0)),"",VLOOKUP(CONCATENATE($F53,"_",BN$4),P1156_4,MATCH(BN$3,PAAC!$E$19:$M$19,0),0)),"")</f>
        <v/>
      </c>
      <c r="BO53" s="129" t="str">
        <f>+IFERROR(IF(ISBLANK(VLOOKUP(CONCATENATE($F53,"_",BO$4),P1156_4,MATCH(BO$3,PAAC!$E$19:$M$19,0),0)),"",VLOOKUP(CONCATENATE($F53,"_",BO$4),P1156_4,MATCH(BO$3,PAAC!$E$19:$M$19,0),0)),"")</f>
        <v/>
      </c>
      <c r="BP53" s="129" t="str">
        <f>+IFERROR(IF(ISBLANK(VLOOKUP(CONCATENATE($F53,"_",BP$4),P1156_4,MATCH(BP$3,PAAC!$E$19:$M$19,0),0)),"",VLOOKUP(CONCATENATE($F53,"_",BP$4),P1156_4,MATCH(BP$3,PAAC!$E$19:$M$19,0),0)),"")</f>
        <v/>
      </c>
      <c r="BQ53" s="129" t="str">
        <f>+IFERROR(IF(ISBLANK(VLOOKUP(CONCATENATE($F53,"_",BQ$4),P1156_4,MATCH(BQ$3,PAAC!$E$19:$M$19,0),0)),"",VLOOKUP(CONCATENATE($F53,"_",BQ$4),P1156_4,MATCH(BQ$3,PAAC!$E$19:$M$19,0),0)),"")</f>
        <v/>
      </c>
      <c r="BR53" s="129" t="str">
        <f>+IFERROR(IF(ISBLANK(VLOOKUP(CONCATENATE($F53,"_",BR$4),P1156_4,MATCH(BR$3,PAAC!$E$19:$M$19,0),0)),"",VLOOKUP(CONCATENATE($F53,"_",BR$4),P1156_4,MATCH(BR$3,PAAC!$E$19:$M$19,0),0)),"")</f>
        <v/>
      </c>
      <c r="BS53" s="129" t="str">
        <f>+IFERROR(IF(ISBLANK(VLOOKUP(CONCATENATE($F53,"_",BS$4),P1156_4,MATCH(BS$3,PAAC!$E$19:$M$19,0),0)),"",VLOOKUP(CONCATENATE($F53,"_",BS$4),P1156_4,MATCH(BS$3,PAAC!$E$19:$M$19,0),0)),"")</f>
        <v/>
      </c>
      <c r="BT53" s="129" t="str">
        <f>+IFERROR(IF(ISBLANK(VLOOKUP(CONCATENATE($F53,"_",BT$4),P1156_4,MATCH(BT$3,PAAC!$E$19:$M$19,0),0)),"",VLOOKUP(CONCATENATE($F53,"_",BT$4),P1156_4,MATCH(BT$3,PAAC!$E$19:$M$19,0),0)),"")</f>
        <v/>
      </c>
      <c r="BU53" s="129" t="str">
        <f>+IFERROR(IF(ISBLANK(VLOOKUP(CONCATENATE($F53,"_",BU$4),P1156_4,MATCH(BU$3,PAAC!$E$19:$M$19,0),0)),"",VLOOKUP(CONCATENATE($F53,"_",BU$4),P1156_4,MATCH(BU$3,PAAC!$E$19:$M$19,0),0)),"")</f>
        <v/>
      </c>
      <c r="BV53" s="129" t="str">
        <f>+IFERROR(IF(ISBLANK(VLOOKUP(CONCATENATE($F53,"_",BV$4),P1156_4,MATCH(BV$3,PAAC!$E$19:$M$19,0),0)),"",VLOOKUP(CONCATENATE($F53,"_",BV$4),P1156_4,MATCH(BV$3,PAAC!$E$19:$M$19,0),0)),"")</f>
        <v/>
      </c>
      <c r="BW53" s="129" t="str">
        <f>+IFERROR(IF(ISBLANK(VLOOKUP(CONCATENATE($F53,"_",BW$4),P1156_4,MATCH(BW$3,PAAC!$E$19:$M$19,0),0)),"",VLOOKUP(CONCATENATE($F53,"_",BW$4),P1156_4,MATCH(BW$3,PAAC!$E$19:$M$19,0),0)),"")</f>
        <v/>
      </c>
      <c r="BX53" s="129" t="str">
        <f>+IFERROR(IF(ISBLANK(VLOOKUP(CONCATENATE($F53,"_",BX$4),P1156_4,MATCH(BX$3,PAAC!$E$19:$M$19,0),0)),"",VLOOKUP(CONCATENATE($F53,"_",BX$4),P1156_4,MATCH(BX$3,PAAC!$E$19:$M$19,0),0)),"")</f>
        <v/>
      </c>
      <c r="BY53" s="129" t="str">
        <f>+IFERROR(IF(ISBLANK(VLOOKUP(CONCATENATE($F53,"_",BY$4),P1156_4,MATCH(BY$3,PAAC!$E$19:$M$19,0),0)),"",VLOOKUP(CONCATENATE($F53,"_",BY$4),P1156_4,MATCH(BY$3,PAAC!$E$19:$M$19,0),0)),"")</f>
        <v/>
      </c>
      <c r="BZ53" s="129" t="str">
        <f>+IFERROR(IF(ISBLANK(VLOOKUP(CONCATENATE($F53,"_",BZ$4),P1156_4,MATCH(BZ$3,PAAC!$E$19:$M$19,0),0)),"",VLOOKUP(CONCATENATE($F53,"_",BZ$4),P1156_4,MATCH(BZ$3,PAAC!$E$19:$M$19,0),0)),"")</f>
        <v/>
      </c>
      <c r="CA53" s="129" t="str">
        <f>+IFERROR(IF(ISBLANK(VLOOKUP(CONCATENATE($F53,"_",CA$4),P1156_4,MATCH(CA$3,PAAC!$E$19:$M$19,0),0)),"",VLOOKUP(CONCATENATE($F53,"_",CA$4),P1156_4,MATCH(CA$3,PAAC!$E$19:$M$19,0),0)),"")</f>
        <v/>
      </c>
      <c r="CB53" s="129" t="str">
        <f>+IFERROR(IF(ISBLANK(VLOOKUP(CONCATENATE($F53,"_",CB$4),P1156_4,MATCH(CB$3,PAAC!$E$19:$M$19,0),0)),"",VLOOKUP(CONCATENATE($F53,"_",CB$4),P1156_4,MATCH(CB$3,PAAC!$E$19:$M$19,0),0)),"")</f>
        <v/>
      </c>
      <c r="CC53" s="129" t="str">
        <f>+IFERROR(IF(ISBLANK(VLOOKUP(CONCATENATE($F53,"_",CC$4),P1156_4,MATCH(CC$3,PAAC!$E$19:$M$19,0),0)),"",VLOOKUP(CONCATENATE($F53,"_",CC$4),P1156_4,MATCH(CC$3,PAAC!$E$19:$M$19,0),0)),"")</f>
        <v/>
      </c>
      <c r="CD53" s="129" t="str">
        <f t="shared" si="11"/>
        <v/>
      </c>
      <c r="CE53" s="129" t="str">
        <f t="shared" si="3"/>
        <v/>
      </c>
      <c r="CF53" s="129" t="str">
        <f t="shared" si="4"/>
        <v/>
      </c>
      <c r="CG53" s="129" t="str">
        <f t="shared" si="5"/>
        <v/>
      </c>
      <c r="CH53" s="129" t="str">
        <f t="shared" si="6"/>
        <v/>
      </c>
      <c r="CI53" t="str">
        <f t="shared" si="36"/>
        <v>Cumple</v>
      </c>
      <c r="CJ53" t="str">
        <f t="shared" si="36"/>
        <v>Cumplido</v>
      </c>
      <c r="CK53" t="str">
        <f t="shared" si="36"/>
        <v>Adecuado</v>
      </c>
      <c r="CL53" t="str">
        <f t="shared" si="36"/>
        <v>Coherente</v>
      </c>
      <c r="CM53" t="str">
        <f t="shared" si="36"/>
        <v>Concuerda</v>
      </c>
      <c r="CN53" t="str">
        <f t="shared" si="36"/>
        <v>Concuerda</v>
      </c>
      <c r="CO53">
        <f t="shared" si="36"/>
        <v>0</v>
      </c>
      <c r="CP53" t="str">
        <f t="shared" si="36"/>
        <v>Adecuado</v>
      </c>
      <c r="CQ53" t="str">
        <f t="shared" si="36"/>
        <v>Oportuna</v>
      </c>
      <c r="CR53" t="str">
        <f t="shared" si="36"/>
        <v>Ninguna</v>
      </c>
      <c r="CS53" t="str">
        <f t="shared" si="37"/>
        <v>Marcela Andrea García Guerrero</v>
      </c>
      <c r="CT53" t="str">
        <f t="shared" si="37"/>
        <v>Cumple</v>
      </c>
      <c r="CU53" t="str">
        <f t="shared" si="37"/>
        <v>Cumplido</v>
      </c>
      <c r="CV53" t="str">
        <f t="shared" si="37"/>
        <v>Adecuado</v>
      </c>
      <c r="CW53" t="str">
        <f t="shared" si="37"/>
        <v>Coherente</v>
      </c>
      <c r="CX53" t="str">
        <f t="shared" si="37"/>
        <v>Concuerda</v>
      </c>
      <c r="CY53" t="str">
        <f t="shared" si="37"/>
        <v>Concuerda</v>
      </c>
      <c r="CZ53">
        <f t="shared" si="37"/>
        <v>0</v>
      </c>
      <c r="DA53" t="str">
        <f t="shared" si="37"/>
        <v>Adecuado</v>
      </c>
      <c r="DB53" t="str">
        <f t="shared" si="37"/>
        <v>Oportuna</v>
      </c>
      <c r="DC53" t="str">
        <f t="shared" si="38"/>
        <v>Ninguna</v>
      </c>
      <c r="DD53" t="str">
        <f t="shared" si="38"/>
        <v>Marcela Andrea García Guerrero</v>
      </c>
      <c r="DE53" t="e">
        <f t="shared" si="38"/>
        <v>#REF!</v>
      </c>
      <c r="DF53" t="e">
        <f t="shared" si="38"/>
        <v>#REF!</v>
      </c>
      <c r="DG53" t="e">
        <f t="shared" si="38"/>
        <v>#REF!</v>
      </c>
      <c r="DH53" t="e">
        <f t="shared" si="38"/>
        <v>#REF!</v>
      </c>
      <c r="DI53" t="e">
        <f t="shared" si="38"/>
        <v>#REF!</v>
      </c>
      <c r="DJ53" t="e">
        <f t="shared" si="38"/>
        <v>#REF!</v>
      </c>
      <c r="DK53" t="e">
        <f t="shared" si="38"/>
        <v>#REF!</v>
      </c>
      <c r="DL53" t="e">
        <f t="shared" si="38"/>
        <v>#REF!</v>
      </c>
      <c r="DM53" t="e">
        <f t="shared" si="39"/>
        <v>#REF!</v>
      </c>
      <c r="DN53" t="e">
        <f t="shared" si="39"/>
        <v>#REF!</v>
      </c>
      <c r="DO53" t="e">
        <f t="shared" si="39"/>
        <v>#REF!</v>
      </c>
      <c r="DP53" t="e">
        <f t="shared" si="39"/>
        <v>#REF!</v>
      </c>
      <c r="DQ53" t="e">
        <f t="shared" si="39"/>
        <v>#REF!</v>
      </c>
      <c r="DR53" t="e">
        <f t="shared" si="39"/>
        <v>#REF!</v>
      </c>
      <c r="DS53" t="e">
        <f t="shared" si="39"/>
        <v>#REF!</v>
      </c>
      <c r="DT53" t="e">
        <f t="shared" si="39"/>
        <v>#REF!</v>
      </c>
      <c r="DU53" t="e">
        <f t="shared" si="39"/>
        <v>#REF!</v>
      </c>
      <c r="DV53" t="e">
        <f t="shared" si="39"/>
        <v>#REF!</v>
      </c>
      <c r="DW53" t="e">
        <f t="shared" si="39"/>
        <v>#REF!</v>
      </c>
      <c r="DX53" t="e">
        <f t="shared" si="39"/>
        <v>#REF!</v>
      </c>
    </row>
    <row r="54" spans="1:128" x14ac:dyDescent="0.3">
      <c r="A54" s="423" t="str">
        <f t="shared" si="41"/>
        <v>PAAC_43</v>
      </c>
      <c r="B54" t="str">
        <f t="shared" si="42"/>
        <v>5_Dirección Distrital de Calidad del Servicio</v>
      </c>
      <c r="C54">
        <f t="shared" si="8"/>
        <v>5</v>
      </c>
      <c r="D54" t="str">
        <f t="shared" si="0"/>
        <v>Dirección Distrital de Calidad del Servicio</v>
      </c>
      <c r="E54" t="str">
        <f t="shared" si="43"/>
        <v>cal</v>
      </c>
      <c r="F54" s="208" t="str">
        <f>Ciudadano!D18</f>
        <v>PAAC_43</v>
      </c>
      <c r="G54" t="str">
        <f t="shared" si="30"/>
        <v>Constante</v>
      </c>
      <c r="H54" t="str">
        <f t="shared" si="30"/>
        <v>Porcentaje</v>
      </c>
      <c r="I54">
        <f t="shared" si="30"/>
        <v>1</v>
      </c>
      <c r="J54">
        <f t="shared" si="30"/>
        <v>1</v>
      </c>
      <c r="K54" t="str">
        <f>+IFERROR(VLOOKUP($F54,Ciudadano_1,MATCH(K$5,Ciudadano!$D$9:$V$9,0),0),"")</f>
        <v>Constante</v>
      </c>
      <c r="L54" t="str">
        <f>+IFERROR(VLOOKUP($F54,Ciudadano_1,MATCH(L$5,Ciudadano!$D$9:$V$9,0),0),"")</f>
        <v/>
      </c>
      <c r="M54">
        <f t="shared" si="40"/>
        <v>300</v>
      </c>
      <c r="N54">
        <f>+IFERROR(VLOOKUP($F54,Ciudadano_1,MATCH(N$5,Ciudadano!$D$9:$V$9,0),0),"")</f>
        <v>100</v>
      </c>
      <c r="O54">
        <f>+IFERROR(VLOOKUP($F54,Ciudadano_1,MATCH(O$5,Ciudadano!$D$9:$V$9,0),0),"")</f>
        <v>100</v>
      </c>
      <c r="P54">
        <f>+IFERROR(VLOOKUP($F54,Ciudadano_1,MATCH(P$5,Ciudadano!$D$9:$V$9,0),0),"")</f>
        <v>100</v>
      </c>
      <c r="Q54">
        <f>+IFERROR(VLOOKUP($F54,Ciudadano_1,MATCH(Q$5,Ciudadano!$D$9:$V$9,0),0),"")</f>
        <v>100</v>
      </c>
      <c r="R54">
        <f>+IFERROR(VLOOKUP($F54,Ciudadano_1,MATCH(R$5,Ciudadano!$D$9:$V$9,0),0),"")</f>
        <v>100</v>
      </c>
      <c r="S54">
        <f>+IFERROR(VLOOKUP($F54,Ciudadano_1,MATCH(S$5,Ciudadano!$D$9:$V$9,0),0),"")</f>
        <v>100</v>
      </c>
      <c r="T54">
        <f>+IFERROR(VLOOKUP($F54,Ciudadano_1,MATCH(T$5,Ciudadano!$D$9:$V$9,0),0),"")</f>
        <v>100</v>
      </c>
      <c r="U54" t="str">
        <f>+IFERROR(VLOOKUP($F54,Ciudadano_1,MATCH(U$5,Ciudadano!$D$9:$V$9,0),0),"")</f>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
      <c r="V54">
        <f>+IFERROR(VLOOKUP($F54,Ciudadano_1,MATCH(V$5,Ciudadano!$D$9:$V$9,0),0),"")</f>
        <v>0</v>
      </c>
      <c r="W54" t="str">
        <f>+IFERROR(VLOOKUP($F54,Ciudadano_1,MATCH(W$5,Ciudadano!$D$9:$V$9,0),0),"")</f>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
      <c r="X54" t="str">
        <f>+IFERROR(VLOOKUP($F54,Ciudadano_1,MATCH(X$5,Ciudadano!$D$9:$V$9,0),0),"")</f>
        <v>Comunicaciones enviadas a las dependencias de la Secretaría General que presenten alguna observación a sus respuestas evaluadas y a las entidades distritales que presenten  observaciones al 10% o más de sus respuestas evaluadas ( mes vencido)</v>
      </c>
      <c r="Y54">
        <f>+IFERROR(IF(ISBLANK(VLOOKUP(CONCATENATE($F54,"_",Y$4),Ciudadano_2,MATCH(Y$3,Ciudadano!$F$23:$O$23,0),0)),"",VLOOKUP(CONCATENATE($F54,"_",Y$4),Ciudadano_2,MATCH(Y$3,Ciudadano!$F$23:$O$23,0),0)),"")</f>
        <v>48</v>
      </c>
      <c r="Z54">
        <f>+IFERROR(IF(ISBLANK(VLOOKUP(CONCATENATE($F54,"_",Z$4),Ciudadano_2,MATCH(Z$3,Ciudadano!$F$23:$O$23,0),0)),"",VLOOKUP(CONCATENATE($F54,"_",Z$4),Ciudadano_2,MATCH(Z$3,Ciudadano!$F$23:$O$23,0),0)),"")</f>
        <v>48</v>
      </c>
      <c r="AA54" t="str">
        <f>+IFERROR(IF(ISBLANK(VLOOKUP(CONCATENATE($F54,"_",AA$4),Ciudadano_2,MATCH(AA$3,Ciudadano!$F$23:$O$23,0),0)),"",VLOOKUP(CONCATENATE($F54,"_",AA$4),Ciudadano_2,MATCH(AA$3,Ciudadano!$F$23:$O$23,0),0)),"")</f>
        <v xml:space="preserve">En el mes de enero se retroalimentó a nueve (9 )dependencias de la Secretaría General y treinta y nueve (39)  entidades distritales, con Informe de resultados de la evaluación en términos de Calidad y Calidez de sus respuestas emitidas el mes anterior (diciembre 2019). 
En el mes, en total se evaluron en términos de Calidad y Calidez,  1.225 respuestas registradas en el Sistema Distrital para la Gestión de peticiones ciudadanas,  para lo cual se  realizaron las siguientes actividades:  
-Selección de la muestra a evaluar. 
-Evaluación de 1.225  respuestas, obteniendose los siguientes resultados en cuanto a los criterios evaluados: el  96% (1.171 respuestas evaluadas en el periodo) cumplen con el criterio de Coherencia; el 93% (1.135 respuestas) cumplen con el criterio de claridad; el  96% (1.171 respuestas)  cumplen con el criterio de calidez;  el 71% (865 respuestas) cumplen con Oportunidad; concluyéndose que el 32% (391  respuestas) no cumplen todos los criterios de Calidad y Calidez  y el  23% (278 respuestas) no cumplen con el manejo del sistema.
-Remisión de comunicaciones  (9 memorandos a Dependencias de la Secretaría General y 39  oficios a  entidades distritales ) con Informe de resultados de la evaluación en términos de Calidad y Calidez (reporte mes vencido). 
La fuente de verificación: 1 archivo PDF da cuenta de las comunicaciones enviadas en el mes de enero/2020,  mediante las cuales se retroalimentó  a nueve (9 )dependencias de la Secretaría General y treinta y nueve (39)  entidades distritales. </v>
      </c>
      <c r="AB54" t="str">
        <f>+IFERROR(IF(ISBLANK(VLOOKUP(CONCATENATE($F54,"_",AB$4),Ciudadano_2,MATCH(AB$3,Ciudadano!$F$23:$O$23,0),0)),"",VLOOKUP(CONCATENATE($F54,"_",AB$4),Ciudadano_2,MATCH(AB$3,Ciudadano!$F$23:$O$23,0),0)),"")</f>
        <v>N.A</v>
      </c>
      <c r="AC54" t="str">
        <f>+IFERROR(IF(ISBLANK(VLOOKUP(CONCATENATE($F54,"_",AC$4),Ciudadano_2,MATCH(AC$3,Ciudadano!$F$23:$O$23,0),0)),"",VLOOKUP(CONCATENATE($F54,"_",AC$4),Ciudadano_2,MATCH(AC$3,Ciudadano!$F$23:$O$23,0),0)),"")</f>
        <v>Se identificaron los aspectos a mejorar (en términos de Calidad y Calidez) en la respuesta a peticiones ciudadanas emitidas por la Secretaría General  y entidades Distritales en el mes anterior (diciembre/2019) , retroalimentando a nueve (9) dependencias de la Secretaría General y treinta y nueve  (39)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AD54">
        <f>+IFERROR(IF(ISBLANK(VLOOKUP(CONCATENATE($F54,"_",AD$4),Ciudadano_2,MATCH(AD$3,Ciudadano!$F$23:$O$23,0),0)),"",VLOOKUP(CONCATENATE($F54,"_",AD$4),Ciudadano_2,MATCH(AD$3,Ciudadano!$F$23:$O$23,0),0)),"")</f>
        <v>31</v>
      </c>
      <c r="AE54">
        <f>+IFERROR(IF(ISBLANK(VLOOKUP(CONCATENATE($F54,"_",AE$4),Ciudadano_2,MATCH(AE$3,Ciudadano!$F$23:$O$23,0),0)),"",VLOOKUP(CONCATENATE($F54,"_",AE$4),Ciudadano_2,MATCH(AE$3,Ciudadano!$F$23:$O$23,0),0)),"")</f>
        <v>31</v>
      </c>
      <c r="AF54" t="str">
        <f>+IFERROR(IF(ISBLANK(VLOOKUP(CONCATENATE($F54,"_",AF$4),Ciudadano_2,MATCH(AF$3,Ciudadano!$F$23:$O$23,0),0)),"",VLOOKUP(CONCATENATE($F54,"_",AF$4),Ciudadano_2,MATCH(AF$3,Ciudadano!$F$23:$O$23,0),0)),"")</f>
        <v xml:space="preserve">En el mes de febrero se retroalimentó a cinco (5 )dependencias de la Secretaría General y ventiseis (26)  entidades distritales, con Informe de resultados de la evaluación en términos de Calidad y Calidez de sus respuestas emitidas el mes anterior (enero 2020). 
En el mes, en total se evaluron en términos de Calidad y Calidez,  1.734 respuestas registradas en el Sistema Distrital para la Gestión de peticiones ciudadanas,  para lo cual se  realizaron las siguientes actividades:  
-Selección de la muestra a evaluar. 
-Evaluación de 1.734  respuestas, obteniendose los siguientes resultados en cuanto a los criterios evaluados: el  97% (1.686 respuestas evaluadas en el periodo) cumplen con el criterio de Coherencia; el 95% (1.642 respuestas) cumplen con el criterio de claridad; el  97% (1.684 respuestas)  cumplen con el criterio de calidez;  el 75% (1.306 respuestas) cumplen con Oportunidad; concluyéndose que el 27% (469  respuestas) no cumplen todos los criterios de Calidad y Calidez  y el 4% (75 respuestas) no cumplen con el manejo del sistema.
-Remisión de comunicaciones  (5 memorandos a Dependencias de la Secretaría General y 26  oficios a  entidades distritales ) con Informe de resultados de la evaluación en términos de Calidad y Calidez (reporte mes vencido). 
La fuente de verificación: 1 archivo PDF da cuenta de las comunicaciones enviadas en el mes de febrero/2020,  mediante las cuales se retroalimentó  a cinco (5 ) dependencias de la Secretaría General yventiseis (26)  entidades distritales. </v>
      </c>
      <c r="AG54" t="str">
        <f>+IFERROR(IF(ISBLANK(VLOOKUP(CONCATENATE($F54,"_",AG$4),Ciudadano_2,MATCH(AG$3,Ciudadano!$F$23:$O$23,0),0)),"",VLOOKUP(CONCATENATE($F54,"_",AG$4),Ciudadano_2,MATCH(AG$3,Ciudadano!$F$23:$O$23,0),0)),"")</f>
        <v>N.A</v>
      </c>
      <c r="AH54" t="str">
        <f>+IFERROR(IF(ISBLANK(VLOOKUP(CONCATENATE($F54,"_",AH$4),Ciudadano_2,MATCH(AH$3,Ciudadano!$F$23:$O$23,0),0)),"",VLOOKUP(CONCATENATE($F54,"_",AH$4),Ciudadano_2,MATCH(AH$3,Ciudadano!$F$23:$O$23,0),0)),"")</f>
        <v>Se identificaron los aspectos a mejorar (en términos de Calidad y Calidez) en la respuesta a peticiones ciudadanas emitidas por la Secretaría General  y entidades Distritales en el mes anterior (enero/2020) , retroalimentando a cinco (5) dependencias de la Secretaría General y ventiseis  (26)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AI54">
        <f>+IFERROR(IF(ISBLANK(VLOOKUP(CONCATENATE($F54,"_",AI$4),Ciudadano_2,MATCH(AI$3,Ciudadano!$F$23:$O$23,0),0)),"",VLOOKUP(CONCATENATE($F54,"_",AI$4),Ciudadano_2,MATCH(AI$3,Ciudadano!$F$23:$O$23,0),0)),"")</f>
        <v>45</v>
      </c>
      <c r="AJ54">
        <f>+IFERROR(IF(ISBLANK(VLOOKUP(CONCATENATE($F54,"_",AJ$4),Ciudadano_2,MATCH(AJ$3,Ciudadano!$F$23:$O$23,0),0)),"",VLOOKUP(CONCATENATE($F54,"_",AJ$4),Ciudadano_2,MATCH(AJ$3,Ciudadano!$F$23:$O$23,0),0)),"")</f>
        <v>45</v>
      </c>
      <c r="AK54" t="str">
        <f>+IFERROR(IF(ISBLANK(VLOOKUP(CONCATENATE($F54,"_",AK$4),Ciudadano_2,MATCH(AK$3,Ciudadano!$F$23:$O$23,0),0)),"",VLOOKUP(CONCATENATE($F54,"_",AK$4),Ciudadano_2,MATCH(AK$3,Ciudadano!$F$23:$O$23,0),0)),"")</f>
        <v xml:space="preserve">En el mes de marzo se retroalimentó a nueve (9 )dependencias de la Secretaría General y treinta y seis (36)  entidades distritales, con Informe de resultados de la evaluación en términos de Calidad y Calidez de sus respuestas emitidas el mes anterior (febrero 2020). 
En el mes, en total se evaluron en términos de Calidad y Calidez,  1.635  respuestas registradas en el Sistema Distrital para la Gestión de peticiones ciudadanas,  para lo cual se  realizaron las siguientes actividades:  
-Selección de la muestra a evaluar. 
-Evaluación de 1.635   respuestas, obteniendose los siguientes resultados en cuanto a los criterios evaluados: el  96% (1.566 respuestas evaluadas en el periodo) cumplen con el criterio de Coherencia; el 93% (1.514 respuestas) cumplen con el criterio de claridad; el  95% (1.554  respuestas)  cumplen con el criterio de calidez;  el 85% (1.383 respuestas) cumplen con Oportunidad; concluyéndose que el 18% (301  respuestas) no cumplen todos los criterios de Calidad y Calidez  y el 7% (115 respuestas) no cumplen con el manejo del sistema.
-Remisión de comunicaciones  (9 memorandos a Dependencias de la Secretaría General y 36  oficios a  entidades distritales ) con Informe de resultados de la evaluación en términos de Calidad y Calidez (reporte mes vencido). 
La fuente de verificación: 1 archivo PDF da cuenta de las comunicaciones enviadas en el mes de marzo/2020,  mediante las cuales se retroalimentó  a nueve (9 ) dependencias de la Secretaría General y treinta y seis (36)  entidades distritales. </v>
      </c>
      <c r="AL54" t="str">
        <f>+IFERROR(IF(ISBLANK(VLOOKUP(CONCATENATE($F54,"_",AL$4),Ciudadano_2,MATCH(AL$3,Ciudadano!$F$23:$O$23,0),0)),"",VLOOKUP(CONCATENATE($F54,"_",AL$4),Ciudadano_2,MATCH(AL$3,Ciudadano!$F$23:$O$23,0),0)),"")</f>
        <v>N.A</v>
      </c>
      <c r="AM54" t="str">
        <f>+IFERROR(IF(ISBLANK(VLOOKUP(CONCATENATE($F54,"_",AM$4),Ciudadano_2,MATCH(AM$3,Ciudadano!$F$23:$O$23,0),0)),"",VLOOKUP(CONCATENATE($F54,"_",AM$4),Ciudadano_2,MATCH(AM$3,Ciudadano!$F$23:$O$23,0),0)),"")</f>
        <v>Se identificaron los aspectos a mejorar (en términos de Calidad y Calidez) en la respuesta a peticiones ciudadanas emitidas por la Secretaría General  y entidades Distritales en el mes anterior (febrero) , retroalimentando a nueve (9) dependencias de la Secretaría General y treinta y seis  (36)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AN54">
        <f>+IFERROR(IF(ISBLANK(VLOOKUP(CONCATENATE($F54,"_",AN$4),Ciudadano_2,MATCH(AN$3,Ciudadano!$F$23:$O$23,0),0)),"",VLOOKUP(CONCATENATE($F54,"_",AN$4),Ciudadano_2,MATCH(AN$3,Ciudadano!$F$23:$O$23,0),0)),"")</f>
        <v>47</v>
      </c>
      <c r="AO54">
        <f>+IFERROR(IF(ISBLANK(VLOOKUP(CONCATENATE($F54,"_",AO$4),Ciudadano_2,MATCH(AO$3,Ciudadano!$F$23:$O$23,0),0)),"",VLOOKUP(CONCATENATE($F54,"_",AO$4),Ciudadano_2,MATCH(AO$3,Ciudadano!$F$23:$O$23,0),0)),"")</f>
        <v>47</v>
      </c>
      <c r="AP54" t="str">
        <f>+IFERROR(IF(ISBLANK(VLOOKUP(CONCATENATE($F54,"_",AP$4),Ciudadano_2,MATCH(AP$3,Ciudadano!$F$23:$O$23,0),0)),"",VLOOKUP(CONCATENATE($F54,"_",AP$4),Ciudadano_2,MATCH(AP$3,Ciudadano!$F$23:$O$23,0),0)),"")</f>
        <v xml:space="preserve">En el mes de abril se retroalimentó a siete (7 ) dependencias de la Secretaría General y cuarenta (40)  entidades distritales, con Informe de resultados de la evaluación en términos de Calidad y Calidez de sus respuestas emitidas el mes anterior (marzo2020). 
En el mes, en total se evaluron en términos de Calidad y Calidez,  2.169 respuestas registradas en el Sistema Distrital para la Gestión de peticiones ciudadanas,  para lo cual se  realizaron las siguientes actividades:  
-Selección de la muestra a evaluar. 
-Evaluación de 2.169   respuestas, obteniendose los siguientes resultados en cuanto a los criterios evaluados: el  95% (2.069  respuestas evaluadas en el periodo) cumplen con el criterio de Coherencia; el 92% (1.987 respuestas) cumplen con el criterio de claridad; el  95% (2.054  respuestas)  cumplen con el criterio de calidez;  el 75% (1.621 respuestas) cumplen con Oportunidad; concluyéndose que el 28% (614  respuestas) no cumplen todos los criterios de Calidad y Calidez  y el 5% (115 respuestas) no cumplen con el manejo del sistema.
-Remisión de comunicaciones  (7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abril/2020,  mediante las cuales se retroalimentó  a siete (7 ) dependencias de la Secretaría General y cuarenta (40)  entidades distritales. </v>
      </c>
      <c r="AQ54" t="str">
        <f>+IFERROR(IF(ISBLANK(VLOOKUP(CONCATENATE($F54,"_",AQ$4),Ciudadano_2,MATCH(AQ$3,Ciudadano!$F$23:$O$23,0),0)),"",VLOOKUP(CONCATENATE($F54,"_",AQ$4),Ciudadano_2,MATCH(AQ$3,Ciudadano!$F$23:$O$23,0),0)),"")</f>
        <v>N.A</v>
      </c>
      <c r="AR54" t="str">
        <f>+IFERROR(IF(ISBLANK(VLOOKUP(CONCATENATE($F54,"_",AR$4),Ciudadano_2,MATCH(AR$3,Ciudadano!$F$23:$O$23,0),0)),"",VLOOKUP(CONCATENATE($F54,"_",AR$4),Ciudadano_2,MATCH(AR$3,Ciudadano!$F$23:$O$23,0),0)),"")</f>
        <v>Se identificaron los aspectos a mejorar (en términos de Calidad y Calidez) en la respuesta a peticiones ciudadanas emitidas por la Secretaría General  y entidades Distritales en el mes anterior (marzo) , retroalimentando a siete (7)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AS54">
        <f>+IFERROR(IF(ISBLANK(VLOOKUP(CONCATENATE($F54,"_",AS$4),Ciudadano_2,MATCH(AS$3,Ciudadano!$F$23:$O$23,0),0)),"",VLOOKUP(CONCATENATE($F54,"_",AS$4),Ciudadano_2,MATCH(AS$3,Ciudadano!$F$23:$O$23,0),0)),"")</f>
        <v>41</v>
      </c>
      <c r="AT54">
        <f>+IFERROR(IF(ISBLANK(VLOOKUP(CONCATENATE($F54,"_",AT$4),Ciudadano_2,MATCH(AT$3,Ciudadano!$F$23:$O$23,0),0)),"",VLOOKUP(CONCATENATE($F54,"_",AT$4),Ciudadano_2,MATCH(AT$3,Ciudadano!$F$23:$O$23,0),0)),"")</f>
        <v>41</v>
      </c>
      <c r="AU54" t="str">
        <f>+IFERROR(IF(ISBLANK(VLOOKUP(CONCATENATE($F54,"_",AU$4),Ciudadano_2,MATCH(AU$3,Ciudadano!$F$23:$O$23,0),0)),"",VLOOKUP(CONCATENATE($F54,"_",AU$4),Ciudadano_2,MATCH(AU$3,Ciudadano!$F$23:$O$23,0),0)),"")</f>
        <v xml:space="preserve">En el mes de mayo se retroalimentó a seis (6 ) dependencias de la Secretaría General y treinta y cinco (35)  entidades distritales, con Informe de resultados de la evaluación en términos de Calidad y Calidez de sus respuestas emitidas el mes anterior (abril 2020). 
En el mes, en total se evaluron en términos de Calidad y Calidez,  1.544 respuestas registradas en el Sistema Distrital para la Gestión de peticiones ciudadanas,  para lo cual se  realizaron las siguientes actividades:  
-Selección de la muestra a evaluar. 
-Evaluación de 1.544   respuestas, obteniendose los siguientes resultados en cuanto a los criterios evaluados: el  94% (1.456  respuestas evaluadas en el periodo) cumplen con el criterio de Coherencia; el 91% (1.398 respuestas) cumplen con el criterio de claridad; el  94% (1.448  respuestas)  cumplen con el criterio de calidez;  el 77% (1.190 respuestas) cumplen con Oportunidad; concluyéndose que el 27% (412  respuestas) no cumplen todos los criterios de Calidad y Calidez  y el 7% (111 respuestas) no cumplen con el manejo del sistema.
-Remisión de comunicaciones  (6 memorandos a Dependencias de la Secretaría General y 35 oficios a  entidades distritales ) con Informe de resultados de la evaluación en términos de Calidad y Calidez (reporte mes vencido). 
La fuente de verificación:  1 archivo PDF da cuenta de las comunicaciones enviadas en el mes de mayo/2020,  mediante las cuales se retroalimentó  a seis (6 ) dependencias de la Secretaría General y treinta y cinco (35)  entidades distritales. </v>
      </c>
      <c r="AV54" t="str">
        <f>+IFERROR(IF(ISBLANK(VLOOKUP(CONCATENATE($F54,"_",AV$4),Ciudadano_2,MATCH(AV$3,Ciudadano!$F$23:$O$23,0),0)),"",VLOOKUP(CONCATENATE($F54,"_",AV$4),Ciudadano_2,MATCH(AV$3,Ciudadano!$F$23:$O$23,0),0)),"")</f>
        <v>N.A</v>
      </c>
      <c r="AW54" t="str">
        <f>+IFERROR(IF(ISBLANK(VLOOKUP(CONCATENATE($F54,"_",AW$4),Ciudadano_2,MATCH(AW$3,Ciudadano!$F$23:$O$23,0),0)),"",VLOOKUP(CONCATENATE($F54,"_",AW$4),Ciudadano_2,MATCH(AW$3,Ciudadano!$F$23:$O$23,0),0)),"")</f>
        <v>Se identificaron los aspectos a mejorar (en términos de Calidad y Calidez) en la respuesta a peticiones ciudadanas emitidas por la Secretaría General  y entidades Distritales en el mes anterior (abril , retroalimentando a seis (6) dependencias de la Secretaría General y treinta y cinco (35)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AX54">
        <f>+IFERROR(IF(ISBLANK(VLOOKUP(CONCATENATE($F54,"_",AX$4),Ciudadano_2,MATCH(AX$3,Ciudadano!$F$23:$O$23,0),0)),"",VLOOKUP(CONCATENATE($F54,"_",AX$4),Ciudadano_2,MATCH(AX$3,Ciudadano!$F$23:$O$23,0),0)),"")</f>
        <v>41</v>
      </c>
      <c r="AY54">
        <f>+IFERROR(IF(ISBLANK(VLOOKUP(CONCATENATE($F54,"_",AY$4),Ciudadano_2,MATCH(AY$3,Ciudadano!$F$23:$O$23,0),0)),"",VLOOKUP(CONCATENATE($F54,"_",AY$4),Ciudadano_2,MATCH(AY$3,Ciudadano!$F$23:$O$23,0),0)),"")</f>
        <v>41</v>
      </c>
      <c r="AZ54" t="str">
        <f>+IFERROR(IF(ISBLANK(VLOOKUP(CONCATENATE($F54,"_",AZ$4),Ciudadano_2,MATCH(AZ$3,Ciudadano!$F$23:$O$23,0),0)),"",VLOOKUP(CONCATENATE($F54,"_",AZ$4),Ciudadano_2,MATCH(AZ$3,Ciudadano!$F$23:$O$23,0),0)),"")</f>
        <v xml:space="preserve">En el mes de junio se retroalimentó a siete (7 ) dependencias de la Secretaría General y treinta y cuatro (34)  entidades distritales, con Informe de resultados de la evaluación en términos de Calidad y Calidez de sus respuestas emitidas el mes anterior (mayo/ 2020). 
En el mes, en total se evaluaron en términos de Calidad y Calidez,  1.811 respuestas registradas en el Sistema Distrital para la Gestión de peticiones ciudadanas,  para lo cual se  realizaron las siguientes actividades:  
-Selección de la muestra a evaluar. 
-Evaluación de 1.811   respuestas, obteniendose los siguientes resultados en cuanto a los criterios evaluados: el  95% (1.726  respuestas evaluadas en el periodo) cumplen con el criterio de Coherencia; el 91% (1.650 respuestas) cumplen con el criterio de claridad; el  94% (1.707  respuestas)  cumplen con el criterio de calidez;  el 82% (1.489 respuestas) cumplen con Oportunidad; concluyéndose que el 22% (392  respuestas) no cumplen todos los criterios de Calidad y Calidez  y el 9% (165 respuestas) no cumplen con el manejo del sistema.
-Remisión de comunicaciones  (7 memorandos a Dependencias de la Secretaría General y 34 oficios a  entidades distritales ) con Informe de resultados de la evaluación en términos de Calidad y Calidez (reporte mes vencido). </v>
      </c>
      <c r="BA54" t="str">
        <f>+IFERROR(IF(ISBLANK(VLOOKUP(CONCATENATE($F54,"_",BA$4),Ciudadano_2,MATCH(BA$3,Ciudadano!$F$23:$O$23,0),0)),"",VLOOKUP(CONCATENATE($F54,"_",BA$4),Ciudadano_2,MATCH(BA$3,Ciudadano!$F$23:$O$23,0),0)),"")</f>
        <v>N.A</v>
      </c>
      <c r="BB54" t="str">
        <f>+IFERROR(IF(ISBLANK(VLOOKUP(CONCATENATE($F54,"_",BB$4),Ciudadano_2,MATCH(BB$3,Ciudadano!$F$23:$O$23,0),0)),"",VLOOKUP(CONCATENATE($F54,"_",BB$4),Ciudadano_2,MATCH(BB$3,Ciudadano!$F$23:$O$23,0),0)),"")</f>
        <v>Se identificaron los aspectos a mejorar (en términos de Calidad y Calidez) en la respuesta a peticiones ciudadanas emitidas por la Secretaría General  y entidades Distritales en el mes anterior (mayo), retroalimentando a siete (7) dependencias de la Secretaría General y treinta y cuatro (34)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BC54">
        <f t="shared" si="10"/>
        <v>253</v>
      </c>
      <c r="BD54">
        <f t="shared" si="10"/>
        <v>253</v>
      </c>
      <c r="CI54" t="str">
        <f t="shared" si="36"/>
        <v>Cumple</v>
      </c>
      <c r="CJ54" t="str">
        <f t="shared" si="36"/>
        <v>Cumplido</v>
      </c>
      <c r="CK54" t="str">
        <f t="shared" si="36"/>
        <v>Adecuado</v>
      </c>
      <c r="CL54" t="str">
        <f t="shared" si="36"/>
        <v>Coherente</v>
      </c>
      <c r="CM54" t="str">
        <f t="shared" si="36"/>
        <v>Concuerda</v>
      </c>
      <c r="CN54" t="str">
        <f t="shared" si="36"/>
        <v>Concuerda</v>
      </c>
      <c r="CO54">
        <f t="shared" si="36"/>
        <v>0</v>
      </c>
      <c r="CP54" t="str">
        <f t="shared" si="36"/>
        <v>Adecuado</v>
      </c>
      <c r="CQ54" t="str">
        <f t="shared" si="36"/>
        <v>Oportuna</v>
      </c>
      <c r="CR54" t="str">
        <f t="shared" si="36"/>
        <v>Ninguna</v>
      </c>
      <c r="CS54" t="str">
        <f t="shared" si="37"/>
        <v>Marcela Andrea García Guerrero</v>
      </c>
      <c r="CT54" t="str">
        <f t="shared" si="37"/>
        <v>Cumple</v>
      </c>
      <c r="CU54" t="str">
        <f t="shared" si="37"/>
        <v>Cumplido</v>
      </c>
      <c r="CV54" t="str">
        <f t="shared" si="37"/>
        <v>Adecuado</v>
      </c>
      <c r="CW54" t="str">
        <f t="shared" si="37"/>
        <v>Coherente</v>
      </c>
      <c r="CX54" t="str">
        <f t="shared" si="37"/>
        <v>Concuerda</v>
      </c>
      <c r="CY54" t="str">
        <f t="shared" si="37"/>
        <v>Concuerda</v>
      </c>
      <c r="CZ54">
        <f t="shared" si="37"/>
        <v>0</v>
      </c>
      <c r="DA54" t="str">
        <f t="shared" si="37"/>
        <v>Adecuado</v>
      </c>
      <c r="DB54" t="str">
        <f t="shared" si="37"/>
        <v>Oportuna</v>
      </c>
      <c r="DC54" t="str">
        <f t="shared" si="38"/>
        <v>Ninguna</v>
      </c>
      <c r="DD54" t="str">
        <f t="shared" si="38"/>
        <v>Marcela Andrea García Guerrero</v>
      </c>
      <c r="DE54" t="e">
        <f t="shared" si="38"/>
        <v>#REF!</v>
      </c>
      <c r="DF54" t="e">
        <f t="shared" si="38"/>
        <v>#REF!</v>
      </c>
      <c r="DG54" t="e">
        <f t="shared" si="38"/>
        <v>#REF!</v>
      </c>
      <c r="DH54" t="e">
        <f t="shared" si="38"/>
        <v>#REF!</v>
      </c>
      <c r="DI54" t="e">
        <f t="shared" si="38"/>
        <v>#REF!</v>
      </c>
      <c r="DJ54" t="e">
        <f t="shared" si="38"/>
        <v>#REF!</v>
      </c>
      <c r="DK54" t="e">
        <f t="shared" si="38"/>
        <v>#REF!</v>
      </c>
      <c r="DL54" t="e">
        <f t="shared" si="38"/>
        <v>#REF!</v>
      </c>
      <c r="DM54" t="e">
        <f t="shared" si="39"/>
        <v>#REF!</v>
      </c>
      <c r="DN54" t="e">
        <f t="shared" si="39"/>
        <v>#REF!</v>
      </c>
      <c r="DO54" t="e">
        <f t="shared" si="39"/>
        <v>#REF!</v>
      </c>
      <c r="DP54" t="e">
        <f t="shared" si="39"/>
        <v>#REF!</v>
      </c>
      <c r="DQ54" t="e">
        <f t="shared" si="39"/>
        <v>#REF!</v>
      </c>
      <c r="DR54" t="e">
        <f t="shared" si="39"/>
        <v>#REF!</v>
      </c>
      <c r="DS54" t="e">
        <f t="shared" si="39"/>
        <v>#REF!</v>
      </c>
      <c r="DT54" t="e">
        <f t="shared" si="39"/>
        <v>#REF!</v>
      </c>
      <c r="DU54" t="e">
        <f t="shared" si="39"/>
        <v>#REF!</v>
      </c>
      <c r="DV54" t="e">
        <f t="shared" si="39"/>
        <v>#REF!</v>
      </c>
      <c r="DW54" t="e">
        <f t="shared" si="39"/>
        <v>#REF!</v>
      </c>
      <c r="DX54" t="e">
        <f t="shared" si="39"/>
        <v>#REF!</v>
      </c>
    </row>
    <row r="55" spans="1:128" x14ac:dyDescent="0.3">
      <c r="A55" s="423" t="str">
        <f t="shared" si="41"/>
        <v>PAAC_47</v>
      </c>
      <c r="B55" t="str">
        <f t="shared" si="42"/>
        <v>6_Dirección Distrital de Calidad del Servicio</v>
      </c>
      <c r="C55">
        <f t="shared" si="8"/>
        <v>6</v>
      </c>
      <c r="D55" t="str">
        <f t="shared" si="0"/>
        <v>Dirección Distrital de Calidad del Servicio</v>
      </c>
      <c r="E55" t="str">
        <f t="shared" si="43"/>
        <v>cal</v>
      </c>
      <c r="F55" s="208" t="str">
        <f>Ciudadano!D19</f>
        <v>PAAC_47</v>
      </c>
      <c r="G55" t="str">
        <f t="shared" si="30"/>
        <v>Constante</v>
      </c>
      <c r="H55" t="str">
        <f t="shared" si="30"/>
        <v>Porcentaje</v>
      </c>
      <c r="I55">
        <f t="shared" si="30"/>
        <v>1</v>
      </c>
      <c r="J55">
        <f t="shared" si="30"/>
        <v>1</v>
      </c>
      <c r="K55" t="str">
        <f>+IFERROR(VLOOKUP($F55,Ciudadano_1,MATCH(K$5,Ciudadano!$D$9:$V$9,0),0),"")</f>
        <v>Constante</v>
      </c>
      <c r="L55" t="str">
        <f>+IFERROR(VLOOKUP($F55,Ciudadano_1,MATCH(L$5,Ciudadano!$D$9:$V$9,0),0),"")</f>
        <v/>
      </c>
      <c r="M55">
        <f t="shared" si="40"/>
        <v>300</v>
      </c>
      <c r="N55">
        <f>+IFERROR(VLOOKUP($F55,Ciudadano_1,MATCH(N$5,Ciudadano!$D$9:$V$9,0),0),"")</f>
        <v>100</v>
      </c>
      <c r="O55">
        <f>+IFERROR(VLOOKUP($F55,Ciudadano_1,MATCH(O$5,Ciudadano!$D$9:$V$9,0),0),"")</f>
        <v>100</v>
      </c>
      <c r="P55">
        <f>+IFERROR(VLOOKUP($F55,Ciudadano_1,MATCH(P$5,Ciudadano!$D$9:$V$9,0),0),"")</f>
        <v>100</v>
      </c>
      <c r="Q55">
        <f>+IFERROR(VLOOKUP($F55,Ciudadano_1,MATCH(Q$5,Ciudadano!$D$9:$V$9,0),0),"")</f>
        <v>100</v>
      </c>
      <c r="R55">
        <f>+IFERROR(VLOOKUP($F55,Ciudadano_1,MATCH(R$5,Ciudadano!$D$9:$V$9,0),0),"")</f>
        <v>100</v>
      </c>
      <c r="S55">
        <f>+IFERROR(VLOOKUP($F55,Ciudadano_1,MATCH(S$5,Ciudadano!$D$9:$V$9,0),0),"")</f>
        <v>100</v>
      </c>
      <c r="T55">
        <f>+IFERROR(VLOOKUP($F55,Ciudadano_1,MATCH(T$5,Ciudadano!$D$9:$V$9,0),0),"")</f>
        <v>100</v>
      </c>
      <c r="U55" t="str">
        <f>+IFERROR(VLOOKUP($F55,Ciudadano_1,MATCH(U$5,Ciudadano!$D$9:$V$9,0),0),"")</f>
        <v>Realizar seguimiento a los requerimientos vencidos según los términos de ley en la Secretaría General y en las entidades distritales, registrados en el Sistema Distrital de Quejas y Soluciones.</v>
      </c>
      <c r="V55">
        <f>+IFERROR(VLOOKUP($F55,Ciudadano_1,MATCH(V$5,Ciudadano!$D$9:$V$9,0),0),"")</f>
        <v>0</v>
      </c>
      <c r="W55" t="str">
        <f>+IFERROR(VLOOKUP($F55,Ciudadano_1,MATCH(W$5,Ciudadano!$D$9:$V$9,0),0),"")</f>
        <v>Realizar seguimiento a los requerimientos vencidos en términos de Ley,  promoviendo a nivel Distrital la adecuada atención  de peticiones ciudadanas dentro de los tiempos establecidos por la ley.</v>
      </c>
      <c r="X55" t="str">
        <f>+IFERROR(VLOOKUP($F55,Ciudadano_1,MATCH(X$5,Ciudadano!$D$9:$V$9,0),0),"")</f>
        <v xml:space="preserve">Comunicaciones enviadas para realizar seguimiento a peticiones vencidas (reporte mes vencido)     </v>
      </c>
      <c r="Y55">
        <f>+IFERROR(IF(ISBLANK(VLOOKUP(CONCATENATE($F55,"_",Y$4),Ciudadano_2,MATCH(Y$3,Ciudadano!$F$23:$O$23,0),0)),"",VLOOKUP(CONCATENATE($F55,"_",Y$4),Ciudadano_2,MATCH(Y$3,Ciudadano!$F$23:$O$23,0),0)),"")</f>
        <v>29</v>
      </c>
      <c r="Z55">
        <f>+IFERROR(IF(ISBLANK(VLOOKUP(CONCATENATE($F55,"_",Z$4),Ciudadano_2,MATCH(Z$3,Ciudadano!$F$23:$O$23,0),0)),"",VLOOKUP(CONCATENATE($F55,"_",Z$4),Ciudadano_2,MATCH(Z$3,Ciudadano!$F$23:$O$23,0),0)),"")</f>
        <v>29</v>
      </c>
      <c r="AA55" t="str">
        <f>+IFERROR(IF(ISBLANK(VLOOKUP(CONCATENATE($F55,"_",AA$4),Ciudadano_2,MATCH(AA$3,Ciudadano!$F$23:$O$23,0),0)),"",VLOOKUP(CONCATENATE($F55,"_",AA$4),Ciudadano_2,MATCH(AA$3,Ciudadano!$F$23:$O$23,0),0)),"")</f>
        <v>En el mes de enero se realizó seguimiento a las peticiones  registradas en el  Sistema Distrital para la Gestión de Peticiones Ciudadanas  en el mes anterior  (diciembre/2019) pendientes de cierre  (Circular 014/2020)  según términos de ley,   en la Secretaría General y entidades distritales, encontrándose que en este mes,  en el Distrito Capital  en el Distrito Capital  22.542  peticiones se encontraban pendientes  de cierre, siendo las 10 entidades con el mayor número de peticiones, las siguientes: 
Secretaría Distrital de Gobierno  (20.387  peticiones; 90,44% del total pendiente de cierre en el Distrito Capital); UAE de Servicios Públicos -UAESP (663 peticiones; 2,94%);  Empresa de Acueducto, Alcantarillado y Aseo de Bogotá (187 peticiones; 0,83%);  Secretaría Distrital de Ambiente (158 peticiones; 0,70%); Secretaría Distrital del Hábitat (139  peticiones; 0,62%);   DADEP ( 137 peticiones; 0,61%) Secretaría Distrital de Salud (136 peticiones; 0,60%); CODENSA ( 116 peticiones; 0,51%) ; UAE Mantenimiento Vial (115 peticiones; 0,51%);    Secretaría Distrital de Movilidad ( 106 peticiones ; 0,47%);  Así mismo, otras entidades presentaron 398   peticiones que representan el 1,77% del total.
En total se identificaron venticinco (25) entidades Distritales y cuatro (4) dependencias de la Secretaría General con peticiones pendientes de cierre  a las cuales se les envió comunicación.
La fuente de verificación 1 archivo PDF  "Comunicaciones enviadas en enero" da cuenta de las comunicaciones enviadas en el mes de enero/2020 a las  dependencias de la Secretaría General y entidades Distritales que presentaron peticiones pendientes de cierre  en el mes anterior  (es decir  diciembre/2019).</v>
      </c>
      <c r="AB55" t="str">
        <f>+IFERROR(IF(ISBLANK(VLOOKUP(CONCATENATE($F55,"_",AB$4),Ciudadano_2,MATCH(AB$3,Ciudadano!$F$23:$O$23,0),0)),"",VLOOKUP(CONCATENATE($F55,"_",AB$4),Ciudadano_2,MATCH(AB$3,Ciudadano!$F$23:$O$23,0),0)),"")</f>
        <v>N.A</v>
      </c>
      <c r="AC55" t="str">
        <f>+IFERROR(IF(ISBLANK(VLOOKUP(CONCATENATE($F55,"_",AC$4),Ciudadano_2,MATCH(AC$3,Ciudadano!$F$23:$O$23,0),0)),"",VLOOKUP(CONCATENATE($F55,"_",AC$4),Ciudadano_2,MATCH(AC$3,Ciudadano!$F$23:$O$23,0),0)),"")</f>
        <v xml:space="preserve">Se promovió a nivel Distrital la adecuada atención  de peticiones ciudadanas dentro de los tiempos establecidos por la ley, dejando evidencia de aquellas peticiones pendientes de respuesta, que deben ser atendidas de manera urgente por la entidad  </v>
      </c>
      <c r="AD55">
        <f>+IFERROR(IF(ISBLANK(VLOOKUP(CONCATENATE($F55,"_",AD$4),Ciudadano_2,MATCH(AD$3,Ciudadano!$F$23:$O$23,0),0)),"",VLOOKUP(CONCATENATE($F55,"_",AD$4),Ciudadano_2,MATCH(AD$3,Ciudadano!$F$23:$O$23,0),0)),"")</f>
        <v>40</v>
      </c>
      <c r="AE55">
        <f>+IFERROR(IF(ISBLANK(VLOOKUP(CONCATENATE($F55,"_",AE$4),Ciudadano_2,MATCH(AE$3,Ciudadano!$F$23:$O$23,0),0)),"",VLOOKUP(CONCATENATE($F55,"_",AE$4),Ciudadano_2,MATCH(AE$3,Ciudadano!$F$23:$O$23,0),0)),"")</f>
        <v>40</v>
      </c>
      <c r="AF55" t="str">
        <f>+IFERROR(IF(ISBLANK(VLOOKUP(CONCATENATE($F55,"_",AF$4),Ciudadano_2,MATCH(AF$3,Ciudadano!$F$23:$O$23,0),0)),"",VLOOKUP(CONCATENATE($F55,"_",AF$4),Ciudadano_2,MATCH(AF$3,Ciudadano!$F$23:$O$23,0),0)),"")</f>
        <v>En el mes de febrero se realizó seguimiento a las peticiones  registradas en el  Sistema Distrital para la Gestión de Peticiones Ciudadanas  en el mes anterior  (enero/2020) pendientes de cierre  (Circular 014/2020)  según términos de ley,   en la Secretaría General y entidades distritales, encontrándose que en este mes  en el Distrito Capital  en el Distrito Capital  25.749 peticiones se encontraban pendientes  de cierre, siendo las 10 entidades con el mayor número de peticiones, las siguientes: 
Secretaría Distrital de Gobierno  (21.742  peticiones; 84,44% del total pendiente de cierre en el Distrito Capital); UAE de Servicios Públicos -UAESP (871 peticiones; 3,38%);  Secretaría Distrital del Hábitat (516 peticiones; 2,0%); Secretaría Distrital de Ambiente (376 peticiones; 1,46%); Empresa de Acueducto, Alcantarillado y Aseo de Bogotá (242 peticiones; 0,94%); Secretaría Distrital de Movilidad (190 peticiones; 0,74%); Secretaría de Educación ( 185 peticiones ; 0,72%);  SubRed Sur Occidente   (182 peticiones; 0,72%), Secretaría Distrital de Salud (174 peticiones; 0,68%) y UAE Mantenimiento Vial (153 peticiones; 0,59%).   
En total se identificaron treinta y siete (37) entidades Distritales y tres (3) dependencias de la Secretaría General con peticiones pendientes de cierre  a las cuales se les envió comunicación.
La fuente de verificación: 1 archivo PDF  "Comunicaciones enviadas en febrero" da cuenta de las comunicaciones enviadas en el mes de febrero/2020 a las  dependencias de la Secretaría General y entidades Distritales que presentaron peticiones pendientes de cierre  en el mes anterior  (es decir  enero/2020).</v>
      </c>
      <c r="AG55" t="str">
        <f>+IFERROR(IF(ISBLANK(VLOOKUP(CONCATENATE($F55,"_",AG$4),Ciudadano_2,MATCH(AG$3,Ciudadano!$F$23:$O$23,0),0)),"",VLOOKUP(CONCATENATE($F55,"_",AG$4),Ciudadano_2,MATCH(AG$3,Ciudadano!$F$23:$O$23,0),0)),"")</f>
        <v>N.A</v>
      </c>
      <c r="AH55" t="str">
        <f>+IFERROR(IF(ISBLANK(VLOOKUP(CONCATENATE($F55,"_",AH$4),Ciudadano_2,MATCH(AH$3,Ciudadano!$F$23:$O$23,0),0)),"",VLOOKUP(CONCATENATE($F55,"_",AH$4),Ciudadano_2,MATCH(AH$3,Ciudadano!$F$23:$O$23,0),0)),"")</f>
        <v xml:space="preserve">Se promovió a nivel Distrital la adecuada atención  de peticiones ciudadanas dentro de los tiempos establecidos por la ley, dejando evidencia de aquellas peticiones pendientes de respuesta, que deben ser atendidas de manera urgente por la entidad  </v>
      </c>
      <c r="AI55">
        <f>+IFERROR(IF(ISBLANK(VLOOKUP(CONCATENATE($F55,"_",AI$4),Ciudadano_2,MATCH(AI$3,Ciudadano!$F$23:$O$23,0),0)),"",VLOOKUP(CONCATENATE($F55,"_",AI$4),Ciudadano_2,MATCH(AI$3,Ciudadano!$F$23:$O$23,0),0)),"")</f>
        <v>33</v>
      </c>
      <c r="AJ55">
        <f>+IFERROR(IF(ISBLANK(VLOOKUP(CONCATENATE($F55,"_",AJ$4),Ciudadano_2,MATCH(AJ$3,Ciudadano!$F$23:$O$23,0),0)),"",VLOOKUP(CONCATENATE($F55,"_",AJ$4),Ciudadano_2,MATCH(AJ$3,Ciudadano!$F$23:$O$23,0),0)),"")</f>
        <v>33</v>
      </c>
      <c r="AK55" t="str">
        <f>+IFERROR(IF(ISBLANK(VLOOKUP(CONCATENATE($F55,"_",AK$4),Ciudadano_2,MATCH(AK$3,Ciudadano!$F$23:$O$23,0),0)),"",VLOOKUP(CONCATENATE($F55,"_",AK$4),Ciudadano_2,MATCH(AK$3,Ciudadano!$F$23:$O$23,0),0)),"")</f>
        <v>En el mes de marzo se realizó seguimiento a las peticiones  registradas en el  Sistema Distrital para la Gestión de Peticiones Ciudadanas  en el mes anterior  (febrero/2020) pendientes de cierre  (Circular 014/2020)  según términos de ley,   en la Secretaría General y entidades distritales, encontrándose que en este mes  en el Distrito Capital  27.449 peticiones se encontraban pendientes  de cierre, siendo las 10 entidades con el mayor número de peticiones, las siguientes: 
Secretaría Distrital de Gobierno  (22.862  peticiones; 83,29% del total pendiente de cierre en el Distrito Capital); UAE de Servicios Públicos -UAESP (1475  peticiones; 5,37%) ;Secretaría Distrital de Hábitat (648 peticiones; 2,36%);   Secretaría de Educación (384 peticiones ; 1,40%);   Secretaría Distrital de Ambiente (325 peticiones; 1,18%); Secretaría General  (276 peticiones; 1,01%); Empresa de Acueducto, Alcantarillado y Aseo de Bogotá (210 peticiones; 0,77%); IDIPYBA (148 peticiones; 0,54%); Transmilenio (144 peticiones; 0,52%);   UAE Mantenimiento Vial (119 peticiones; 0,43%).     Así mismo, otras entidades presentaron 858  peticiones que representan el 3,13% del total.
En total se identificaron ventinueve (29) entidades Distritales y cuatro (4) dependencias de la Secretara General con peticiones pendientes de cierre  a las cuales se les envió comunicación.
La fuente de verificación: 1 archivo PDF  "Comunicaciones enviadas en marzo" da cuenta de las comunicaciones enviadas en el mes de marzo/2020 a las  dependencias de la Secretaría General y entidades Distritales que presentaron peticiones pendientes de cierre  en el mes anterior  (es decir  febrero/2020).</v>
      </c>
      <c r="AL55" t="str">
        <f>+IFERROR(IF(ISBLANK(VLOOKUP(CONCATENATE($F55,"_",AL$4),Ciudadano_2,MATCH(AL$3,Ciudadano!$F$23:$O$23,0),0)),"",VLOOKUP(CONCATENATE($F55,"_",AL$4),Ciudadano_2,MATCH(AL$3,Ciudadano!$F$23:$O$23,0),0)),"")</f>
        <v>N.A</v>
      </c>
      <c r="AM55" t="str">
        <f>+IFERROR(IF(ISBLANK(VLOOKUP(CONCATENATE($F55,"_",AM$4),Ciudadano_2,MATCH(AM$3,Ciudadano!$F$23:$O$23,0),0)),"",VLOOKUP(CONCATENATE($F55,"_",AM$4),Ciudadano_2,MATCH(AM$3,Ciudadano!$F$23:$O$23,0),0)),"")</f>
        <v xml:space="preserve">Se promovió a nivel Distrital la adecuada atención  de peticiones ciudadanas dentro de los tiempos establecidos por la ley, dejando evidencia de aquellas peticiones pendientes de respuesta, que deben ser atendidas de manera urgente por la entidad  </v>
      </c>
      <c r="AN55">
        <f>+IFERROR(IF(ISBLANK(VLOOKUP(CONCATENATE($F55,"_",AN$4),Ciudadano_2,MATCH(AN$3,Ciudadano!$F$23:$O$23,0),0)),"",VLOOKUP(CONCATENATE($F55,"_",AN$4),Ciudadano_2,MATCH(AN$3,Ciudadano!$F$23:$O$23,0),0)),"")</f>
        <v>24</v>
      </c>
      <c r="AO55">
        <f>+IFERROR(IF(ISBLANK(VLOOKUP(CONCATENATE($F55,"_",AO$4),Ciudadano_2,MATCH(AO$3,Ciudadano!$F$23:$O$23,0),0)),"",VLOOKUP(CONCATENATE($F55,"_",AO$4),Ciudadano_2,MATCH(AO$3,Ciudadano!$F$23:$O$23,0),0)),"")</f>
        <v>24</v>
      </c>
      <c r="AP55" t="str">
        <f>+IFERROR(IF(ISBLANK(VLOOKUP(CONCATENATE($F55,"_",AP$4),Ciudadano_2,MATCH(AP$3,Ciudadano!$F$23:$O$23,0),0)),"",VLOOKUP(CONCATENATE($F55,"_",AP$4),Ciudadano_2,MATCH(AP$3,Ciudadano!$F$23:$O$23,0),0)),"")</f>
        <v>En el mes de abril se realizó seguimiento a las peticiones  registradas en el  Sistema Distrital para la Gestión de Peticiones Ciudadanas  en el mes anterior  (marzo/2020) pendientes de cierre  (Circular 014/2020)  según términos de ley,   en la Secretaría General y entidades distritales, encontrándose que en este mes  en el Distrito Capital  22.668 peticiones se encontraban pendientes  de cierre, siendo las 10 entidades con el mayor número de peticiones, las siguientes: 
Secretaría Distrital de Gobierno  (19.468  peticiones; 85,88% del total pendiente de cierre en el Distrito Capital); UAE de Servicios Públicos -UAESP (1.222 peticiones; 5,39%);  Secretaría Distrital del Hábitat (548 peticiones; 2,42%); Secretaría Distrital de Ambiente (316 peticiones; 1,39%); Secretaría de Educación ( 308  peticiones ; 1,36%); Empresa de Acueducto, Alcantarillado y Aseo de Bogotá (162 peticiones; 0,71%); Secretaría General  (140 peticiones; 0,62%); Secretaría Distrital de Hacienda     (91 peticiones; 0,40%), CODENSA (86 peticiones; 0,38%) IDIPYBA (84 peticiones; 0,37%).     Así mismo, otras entidades presentaron 243 peticiones que representan el 1,07% del total.
En total se identificaron ventiun (21) entidades Distritales y tres (3) dependencias de la Secretara General con peticiones pendientes de cierre  a las cuales se les envió comunicación.
La fuente de verificación: 1 archivo PDF  "Comunicaciones enviadas en abril" da cuenta de las comunicaciones enviadas en el mes de abril/2020 a las  dependencias de la Secretaría General y entidades Distritales que presentaron peticiones pendientes de cierre  en el mes anterior  (es decir  marzo/2020).</v>
      </c>
      <c r="AQ55" t="str">
        <f>+IFERROR(IF(ISBLANK(VLOOKUP(CONCATENATE($F55,"_",AQ$4),Ciudadano_2,MATCH(AQ$3,Ciudadano!$F$23:$O$23,0),0)),"",VLOOKUP(CONCATENATE($F55,"_",AQ$4),Ciudadano_2,MATCH(AQ$3,Ciudadano!$F$23:$O$23,0),0)),"")</f>
        <v>N.A</v>
      </c>
      <c r="AR55" t="str">
        <f>+IFERROR(IF(ISBLANK(VLOOKUP(CONCATENATE($F55,"_",AR$4),Ciudadano_2,MATCH(AR$3,Ciudadano!$F$23:$O$23,0),0)),"",VLOOKUP(CONCATENATE($F55,"_",AR$4),Ciudadano_2,MATCH(AR$3,Ciudadano!$F$23:$O$23,0),0)),"")</f>
        <v xml:space="preserve">Se promovió a nivel Distrital la adecuada atención  de peticiones ciudadanas dentro de los tiempos establecidos por la ley, dejando evidencia de aquellas peticiones pendientes de respuesta, que deben ser atendidas de manera urgente por la entidad  </v>
      </c>
      <c r="AS55">
        <f>+IFERROR(IF(ISBLANK(VLOOKUP(CONCATENATE($F55,"_",AS$4),Ciudadano_2,MATCH(AS$3,Ciudadano!$F$23:$O$23,0),0)),"",VLOOKUP(CONCATENATE($F55,"_",AS$4),Ciudadano_2,MATCH(AS$3,Ciudadano!$F$23:$O$23,0),0)),"")</f>
        <v>28</v>
      </c>
      <c r="AT55">
        <f>+IFERROR(IF(ISBLANK(VLOOKUP(CONCATENATE($F55,"_",AT$4),Ciudadano_2,MATCH(AT$3,Ciudadano!$F$23:$O$23,0),0)),"",VLOOKUP(CONCATENATE($F55,"_",AT$4),Ciudadano_2,MATCH(AT$3,Ciudadano!$F$23:$O$23,0),0)),"")</f>
        <v>28</v>
      </c>
      <c r="AU55" t="str">
        <f>+IFERROR(IF(ISBLANK(VLOOKUP(CONCATENATE($F55,"_",AU$4),Ciudadano_2,MATCH(AU$3,Ciudadano!$F$23:$O$23,0),0)),"",VLOOKUP(CONCATENATE($F55,"_",AU$4),Ciudadano_2,MATCH(AU$3,Ciudadano!$F$23:$O$23,0),0)),"")</f>
        <v>En el mes de mayo se realizó seguimiento a las peticiones  registradas en el  Sistema Distrital para la Gestión de Peticiones Ciudadanas   pendientes de cierre a final de mes (abril/2020) según términos de ley,   en la Secretaría General y entidades distritales; encontrándose que en el Distrito Capital  22.477 peticiones se encontraban pendientes  de cierre (para validación por parte de las entidades) siendo las 10 entidades con el mayor número de peticiones pendientes de  cierre y que requieren validación, las siguientes: 
Secretaría Distrital de Gobierno  (18.618  peticiones; 82,83% del total pendiente de cierre en el Distrito Capital); UAE de Servicios Públicos -UAESP (1.353 peticiones; 6,02%);  Secretaría Distrital del Hábitat (660 peticiones; 2,94%); Secretaría Distrital de Ambiente (359 peticiones; 1,60%); Secretaría de Educación del Distrito (346  peticiones ; 1,54%); Empresa de Acueducto, Alcantarillado y Aseo de Bogotá (275 peticiones; 1,22%); Secretaría General  (180 peticiones; 0,80%); Secretaría Distrital de Hacienda     (117 peticiones; 0,52%), CODENSA (80 peticiones; 0,36%) IDIPYBA (72 peticiones; 0,32%).     Así mismo, otras entidades presentaron 345 peticiones que representan el 1,53% del total peticiones pendientes de  cierre en el Distrito Capital y que requieren validación.
En total se identificaron venticinco (25) entidades Distritales y tres (3) dependencias de la Secretara General con peticiones pendientes de cierre y que requieren validación, a las cuales se les envió comunicación.
La fuente de verificación: 1 archivo PDF  "Comunicaciones Ptes cierre enviadas en mayo", que  da cuenta de las comunicaciones enviadas en mayo, a las  dependencias de la Secretaría General y entidades Distritales que presentaron peticiones pendientes de cierre  en el mes anterior  (es decir  abril/2020).</v>
      </c>
      <c r="AV55" t="str">
        <f>+IFERROR(IF(ISBLANK(VLOOKUP(CONCATENATE($F55,"_",AV$4),Ciudadano_2,MATCH(AV$3,Ciudadano!$F$23:$O$23,0),0)),"",VLOOKUP(CONCATENATE($F55,"_",AV$4),Ciudadano_2,MATCH(AV$3,Ciudadano!$F$23:$O$23,0),0)),"")</f>
        <v>N.A</v>
      </c>
      <c r="AW55" t="str">
        <f>+IFERROR(IF(ISBLANK(VLOOKUP(CONCATENATE($F55,"_",AW$4),Ciudadano_2,MATCH(AW$3,Ciudadano!$F$23:$O$23,0),0)),"",VLOOKUP(CONCATENATE($F55,"_",AW$4),Ciudadano_2,MATCH(AW$3,Ciudadano!$F$23:$O$23,0),0)),"")</f>
        <v xml:space="preserve">Se promovió a nivel Distrital la adecuada atención  de peticiones ciudadanas dentro de los tiempos establecidos por la ley, dejando evidencia de aquellas peticiones pendientes de respuesta, que deben ser atendidas de manera urgente por la entidad  </v>
      </c>
      <c r="AX55">
        <f>+IFERROR(IF(ISBLANK(VLOOKUP(CONCATENATE($F55,"_",AX$4),Ciudadano_2,MATCH(AX$3,Ciudadano!$F$23:$O$23,0),0)),"",VLOOKUP(CONCATENATE($F55,"_",AX$4),Ciudadano_2,MATCH(AX$3,Ciudadano!$F$23:$O$23,0),0)),"")</f>
        <v>34</v>
      </c>
      <c r="AY55">
        <f>+IFERROR(IF(ISBLANK(VLOOKUP(CONCATENATE($F55,"_",AY$4),Ciudadano_2,MATCH(AY$3,Ciudadano!$F$23:$O$23,0),0)),"",VLOOKUP(CONCATENATE($F55,"_",AY$4),Ciudadano_2,MATCH(AY$3,Ciudadano!$F$23:$O$23,0),0)),"")</f>
        <v>34</v>
      </c>
      <c r="AZ55" t="str">
        <f>+IFERROR(IF(ISBLANK(VLOOKUP(CONCATENATE($F55,"_",AZ$4),Ciudadano_2,MATCH(AZ$3,Ciudadano!$F$23:$O$23,0),0)),"",VLOOKUP(CONCATENATE($F55,"_",AZ$4),Ciudadano_2,MATCH(AZ$3,Ciudadano!$F$23:$O$23,0),0)),"")</f>
        <v>En el mes de junio se realizó seguimiento a las peticiones  registradas en el  Sistema Distrital para la Gestión de Peticiones Ciudadanas   pendientes de cierre a final de mes (mayo/2020) según términos de ley,   en la Secretaría General y entidades distritales; encontrándose que en el Distrito Capital  20.738 peticiones se encontraban pendientes  de cierre (para validación por parte de las entidades) siendo las 10 entidades con el mayor número de peticiones pendientes de  cierre y que requieren validación, las siguientes: 
Secretaría Distrital de Gobierno  (17.126  peticiones; 82,58% del total pendiente de cierre en el Distrito Capital); UAE de Servicios Públicos -UAESP (1.125 peticiones; 5,42%);  Secretaría Distrital del Hábitat (531 peticiones; 2,56%); Secretaría General  (388 peticiones; 1,87%); Secretaría Distrital de Hacienda     (247 peticiones; 1,19%), Secretaría Distrital de Integración Social  (231 peticiones; 1,11%);  Empresa de Acueducto, Alcantarillado y Aseo de Bogotá (220 peticiones; 1,06%);  IPES (203 peticiones; 0,98%); Transmilenio  (110  peticiones ; 0,53%); CODENSA (79 peticiones; 0,38%)   Así mismo, otras entidades presentaron 478 peticiones que representan el 2,32% del total peticiones pendientes de  cierre en el Distrito Capital y que requieren validación.
En total se identificaron treinta (30) entidades Distritales y cuatro (4) dependencias de la Secretara General con peticiones pendientes de cierre y que requieren validación, a las cuales se les envió comunicación.</v>
      </c>
      <c r="BA55" t="str">
        <f>+IFERROR(IF(ISBLANK(VLOOKUP(CONCATENATE($F55,"_",BA$4),Ciudadano_2,MATCH(BA$3,Ciudadano!$F$23:$O$23,0),0)),"",VLOOKUP(CONCATENATE($F55,"_",BA$4),Ciudadano_2,MATCH(BA$3,Ciudadano!$F$23:$O$23,0),0)),"")</f>
        <v>N.A</v>
      </c>
      <c r="BB55" t="str">
        <f>+IFERROR(IF(ISBLANK(VLOOKUP(CONCATENATE($F55,"_",BB$4),Ciudadano_2,MATCH(BB$3,Ciudadano!$F$23:$O$23,0),0)),"",VLOOKUP(CONCATENATE($F55,"_",BB$4),Ciudadano_2,MATCH(BB$3,Ciudadano!$F$23:$O$23,0),0)),"")</f>
        <v>Se promovió a nivel Distrital la adecuada atención  de peticiones ciudadanas dentro de los tiempos establecidos por la ley, dejando evidencia de aquellas peticiones pendientes  de cierre que deben ser validadas y atendidas por parte de las entidades</v>
      </c>
      <c r="BC55">
        <f t="shared" si="10"/>
        <v>188</v>
      </c>
      <c r="BD55">
        <f t="shared" si="10"/>
        <v>188</v>
      </c>
      <c r="CI55" t="str">
        <f t="shared" si="36"/>
        <v>Cumple</v>
      </c>
      <c r="CJ55" t="str">
        <f t="shared" si="36"/>
        <v>Cumplido</v>
      </c>
      <c r="CK55" t="str">
        <f t="shared" si="36"/>
        <v>Adecuado</v>
      </c>
      <c r="CL55" t="str">
        <f t="shared" si="36"/>
        <v>Coherente</v>
      </c>
      <c r="CM55" t="str">
        <f t="shared" si="36"/>
        <v>Concuerda</v>
      </c>
      <c r="CN55" t="str">
        <f t="shared" si="36"/>
        <v>Concuerda</v>
      </c>
      <c r="CO55">
        <f t="shared" si="36"/>
        <v>0</v>
      </c>
      <c r="CP55" t="str">
        <f t="shared" si="36"/>
        <v>Adecuado</v>
      </c>
      <c r="CQ55" t="str">
        <f t="shared" si="36"/>
        <v>Oportuna</v>
      </c>
      <c r="CR55" t="str">
        <f t="shared" si="36"/>
        <v>Ninguna</v>
      </c>
      <c r="CS55" t="str">
        <f t="shared" si="37"/>
        <v>Marcela Andrea García Guerrero</v>
      </c>
      <c r="CT55" t="str">
        <f t="shared" si="37"/>
        <v>Cumple</v>
      </c>
      <c r="CU55" t="str">
        <f t="shared" si="37"/>
        <v>Cumplido</v>
      </c>
      <c r="CV55" t="str">
        <f t="shared" si="37"/>
        <v>Adecuado</v>
      </c>
      <c r="CW55" t="str">
        <f t="shared" si="37"/>
        <v>Coherente</v>
      </c>
      <c r="CX55" t="str">
        <f t="shared" si="37"/>
        <v>Concuerda</v>
      </c>
      <c r="CY55" t="str">
        <f t="shared" si="37"/>
        <v>Concuerda</v>
      </c>
      <c r="CZ55">
        <f t="shared" si="37"/>
        <v>0</v>
      </c>
      <c r="DA55" t="str">
        <f t="shared" si="37"/>
        <v>Adecuado</v>
      </c>
      <c r="DB55" t="str">
        <f t="shared" si="37"/>
        <v>Oportuna</v>
      </c>
      <c r="DC55" t="str">
        <f t="shared" si="38"/>
        <v>Ninguna</v>
      </c>
      <c r="DD55" t="str">
        <f t="shared" si="38"/>
        <v>Marcela Andrea García Guerrero</v>
      </c>
      <c r="DE55" t="e">
        <f t="shared" si="38"/>
        <v>#REF!</v>
      </c>
      <c r="DF55" t="e">
        <f t="shared" si="38"/>
        <v>#REF!</v>
      </c>
      <c r="DG55" t="e">
        <f t="shared" si="38"/>
        <v>#REF!</v>
      </c>
      <c r="DH55" t="e">
        <f t="shared" si="38"/>
        <v>#REF!</v>
      </c>
      <c r="DI55" t="e">
        <f t="shared" si="38"/>
        <v>#REF!</v>
      </c>
      <c r="DJ55" t="e">
        <f t="shared" si="38"/>
        <v>#REF!</v>
      </c>
      <c r="DK55" t="e">
        <f t="shared" si="38"/>
        <v>#REF!</v>
      </c>
      <c r="DL55" t="e">
        <f t="shared" si="38"/>
        <v>#REF!</v>
      </c>
      <c r="DM55" t="e">
        <f t="shared" si="39"/>
        <v>#REF!</v>
      </c>
      <c r="DN55" t="e">
        <f t="shared" si="39"/>
        <v>#REF!</v>
      </c>
      <c r="DO55" t="e">
        <f t="shared" si="39"/>
        <v>#REF!</v>
      </c>
      <c r="DP55" t="e">
        <f t="shared" si="39"/>
        <v>#REF!</v>
      </c>
      <c r="DQ55" t="e">
        <f t="shared" si="39"/>
        <v>#REF!</v>
      </c>
      <c r="DR55" t="e">
        <f t="shared" si="39"/>
        <v>#REF!</v>
      </c>
      <c r="DS55" t="e">
        <f t="shared" si="39"/>
        <v>#REF!</v>
      </c>
      <c r="DT55" t="e">
        <f t="shared" si="39"/>
        <v>#REF!</v>
      </c>
      <c r="DU55" t="e">
        <f t="shared" si="39"/>
        <v>#REF!</v>
      </c>
      <c r="DV55" t="e">
        <f t="shared" si="39"/>
        <v>#REF!</v>
      </c>
      <c r="DW55" t="e">
        <f t="shared" si="39"/>
        <v>#REF!</v>
      </c>
      <c r="DX55" t="e">
        <f t="shared" si="39"/>
        <v>#REF!</v>
      </c>
    </row>
    <row r="56" spans="1:128" x14ac:dyDescent="0.3">
      <c r="A56" s="423">
        <f>+F56</f>
        <v>90</v>
      </c>
      <c r="B56" t="str">
        <f>+C56&amp;"_"&amp;D56</f>
        <v>1_Subsecretaría Corporativa</v>
      </c>
      <c r="C56">
        <f t="shared" si="8"/>
        <v>1</v>
      </c>
      <c r="D56" t="str">
        <f t="shared" si="0"/>
        <v>Subsecretaría Corporativa</v>
      </c>
      <c r="E56" t="str">
        <f t="shared" si="1"/>
        <v>sco</v>
      </c>
      <c r="F56" s="207">
        <f>Corporativa!D10</f>
        <v>90</v>
      </c>
      <c r="G56" t="str">
        <f t="shared" si="30"/>
        <v>Constante</v>
      </c>
      <c r="H56" t="str">
        <f t="shared" si="30"/>
        <v>Porcentaje</v>
      </c>
      <c r="I56">
        <f t="shared" si="30"/>
        <v>1</v>
      </c>
      <c r="J56">
        <f t="shared" si="30"/>
        <v>1</v>
      </c>
      <c r="K56" t="str">
        <f>+IFERROR(VLOOKUP($F56,Corporativa_1,MATCH(K$5,Corporativa!$D$9:$V$9,0),0),"")</f>
        <v>Constante</v>
      </c>
      <c r="L56" t="str">
        <f>+IFERROR(VLOOKUP($F56,Corporativa_1,MATCH(L$5,Corporativa!$D$9:$V$9,0),0),"")</f>
        <v/>
      </c>
      <c r="M56">
        <f t="shared" si="40"/>
        <v>300</v>
      </c>
      <c r="N56">
        <f>+IFERROR(VLOOKUP($F56,Corporativa_1,MATCH(N$5,Corporativa!$D$9:$V$9,0),0),"")</f>
        <v>100</v>
      </c>
      <c r="O56">
        <f>+IFERROR(VLOOKUP($F56,Corporativa_1,MATCH(O$5,Corporativa!$D$9:$V$9,0),0),"")</f>
        <v>100</v>
      </c>
      <c r="P56">
        <f>+IFERROR(VLOOKUP($F56,Corporativa_1,MATCH(P$5,Corporativa!$D$9:$V$9,0),0),"")</f>
        <v>100</v>
      </c>
      <c r="Q56">
        <f>+IFERROR(VLOOKUP($F56,Corporativa_1,MATCH(Q$5,Corporativa!$D$9:$V$9,0),0),"")</f>
        <v>100</v>
      </c>
      <c r="R56">
        <f>+IFERROR(VLOOKUP($F56,Corporativa_1,MATCH(R$5,Corporativa!$D$9:$V$9,0),0),"")</f>
        <v>100</v>
      </c>
      <c r="S56">
        <f>+IFERROR(VLOOKUP($F56,Corporativa_1,MATCH(S$5,Corporativa!$D$9:$V$9,0),0),"")</f>
        <v>100</v>
      </c>
      <c r="T56">
        <f>+IFERROR(VLOOKUP($F56,Corporativa_1,MATCH(T$5,Corporativa!$D$9:$V$9,0),0),"")</f>
        <v>100</v>
      </c>
      <c r="U56" t="str">
        <f>+IFERROR(VLOOKUP($F56,Corporativa_1,MATCH(U$5,Corporativa!$D$9:$V$9,0),0),"")</f>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
      <c r="V56" t="str">
        <f>+IFERROR(VLOOKUP($F56,Corporativa_1,MATCH(V$5,Corporativa!$D$9:$V$9,0),0),"")</f>
        <v>• Revisar, analizar y presentar la ejecución presupuestal de la Secretaría General.</v>
      </c>
      <c r="W56" t="str">
        <f>+IFERROR(VLOOKUP($F56,Corporativa_1,MATCH(W$5,Corporativa!$D$9:$V$9,0),0),"")</f>
        <v>Facilita la toma de decisiones oportunas con base en el estado de la ejecución del Plan Anual de Adquisiciones, con el fin de optimizar la ejecución presupuestal de la vigencia.</v>
      </c>
      <c r="X56" t="str">
        <f>+IFERROR(VLOOKUP($F56,Corporativa_1,MATCH(X$5,Corporativa!$D$9:$V$9,0),0),"")</f>
        <v>Presentacion Ejecución Presupuestal
Matriz Seguimiento PAA</v>
      </c>
      <c r="Y56">
        <f>+IFERROR(IF(ISBLANK(VLOOKUP(CONCATENATE($F56,"_",Y$4),Corporativa_2,MATCH(Y$3,Corporativa!$F$27:$O$27,0),0)),"",VLOOKUP(CONCATENATE($F56,"_",Y$4),Corporativa_2,MATCH(Y$3,Corporativa!$F$27:$O$27,0),0)),"")</f>
        <v>1</v>
      </c>
      <c r="Z56">
        <f>+IFERROR(IF(ISBLANK(VLOOKUP(CONCATENATE($F56,"_",Z$4),Corporativa_2,MATCH(Z$3,Corporativa!$F$27:$O$27,0),0)),"",VLOOKUP(CONCATENATE($F56,"_",Z$4),Corporativa_2,MATCH(Z$3,Corporativa!$F$27:$O$27,0),0)),"")</f>
        <v>1</v>
      </c>
      <c r="AA56" t="str">
        <f>+IFERROR(IF(ISBLANK(VLOOKUP(CONCATENATE($F56,"_",AA$4),Corporativa_2,MATCH(AA$3,Corporativa!$F$27:$O$27,0),0)),"",VLOOKUP(CONCATENATE($F56,"_",AA$4),Corporativa_2,MATCH(AA$3,Corporativa!$F$27:$O$27,0),0)),"")</f>
        <v>Enero:
Para el mes de enero de 2020 la Secretaría General de la Alcaldía Mayor de Bogotá D.C. tenía un presupuesto disponible de $96.610.625.000 en gastos de funcionamiento y $ 107.707.652.000 en Inversión. De los cuales se ejecutaron para el cierre de ese mes un total de $ 7.773.036.854,00 (8,0%) en funcionamiento y $ 8.940.204.380 (8,3%) en inversión. Lo anterior, teniendo en cuenta que para dicho mes se gestionaron un total de 160 líneas del Plan Anual de Adquisiciones, de las cuales 153 corresponden a contratos de prestación de servicios profesionales o de apoyo a la gestión, 4 contratos de arrendamiento, 2 convenios interadministrativos y la suscripción de una orden de compra. De acuerdo con lo expuesto se cumplió con las necesidades de contratación de las dependencias que en principio consistía en la contratación de servicios con personas naturales para el logro de los objetivos de la Entidad y la consecución de los proyectos de cada dependencia.</v>
      </c>
      <c r="AB56" t="str">
        <f>+IFERROR(IF(ISBLANK(VLOOKUP(CONCATENATE($F56,"_",AB$4),Corporativa_2,MATCH(AB$3,Corporativa!$F$27:$O$27,0),0)),"",VLOOKUP(CONCATENATE($F56,"_",AB$4),Corporativa_2,MATCH(AB$3,Corporativa!$F$27:$O$27,0),0)),"")</f>
        <v>No se presentaron dificultades en el seguimiento a la
ejecución del PAA 2020  y de la ejecución presupuestal</v>
      </c>
      <c r="AC56" t="str">
        <f>+IFERROR(IF(ISBLANK(VLOOKUP(CONCATENATE($F56,"_",AC$4),Corporativa_2,MATCH(AC$3,Corporativa!$F$27:$O$27,0),0)),"",VLOOKUP(CONCATENATE($F56,"_",AC$4),Corporativa_2,MATCH(AC$3,Corporativa!$F$27:$O$27,0),0)),"")</f>
        <v>Se logró ejecutar el PAA 2020 de acuerdo a lo planeado, lo cual facilitó el inicio de operaciones de la vigencia sin contratiempos.</v>
      </c>
      <c r="AD56">
        <f>+IFERROR(IF(ISBLANK(VLOOKUP(CONCATENATE($F56,"_",AD$4),Corporativa_2,MATCH(AD$3,Corporativa!$F$27:$O$27,0),0)),"",VLOOKUP(CONCATENATE($F56,"_",AD$4),Corporativa_2,MATCH(AD$3,Corporativa!$F$27:$O$27,0),0)),"")</f>
        <v>1</v>
      </c>
      <c r="AE56">
        <f>+IFERROR(IF(ISBLANK(VLOOKUP(CONCATENATE($F56,"_",AE$4),Corporativa_2,MATCH(AE$3,Corporativa!$F$27:$O$27,0),0)),"",VLOOKUP(CONCATENATE($F56,"_",AE$4),Corporativa_2,MATCH(AE$3,Corporativa!$F$27:$O$27,0),0)),"")</f>
        <v>1</v>
      </c>
      <c r="AF56" t="str">
        <f>+IFERROR(IF(ISBLANK(VLOOKUP(CONCATENATE($F56,"_",AF$4),Corporativa_2,MATCH(AF$3,Corporativa!$F$27:$O$27,0),0)),"",VLOOKUP(CONCATENATE($F56,"_",AF$4),Corporativa_2,MATCH(AF$3,Corporativa!$F$27:$O$27,0),0)),"")</f>
        <v>Febrero:
Durante el mes de febrero se suscribieron un total de 194 contratos, entre los cuales 184 corresponden a contratos de prestación de servicios profesionales o de apoyo a la gestión, 6 contratos de arrendamiento, 1 contrato interadministrativo, 6 contratos de arrendamiento, 2 contrataciones con distribuidor exclusivo y la suscripción de 1 orden de compra. Por lo que, sumado a lo contratado en el mes de enero genera una importante ejecución presupuestal que para el mes es en gastos de inversión represento un total de $20.090.446.378 (20,8%) y $8.704.537.820 (17,4%) en gastos de funcionamiento. De acuerdo con lo señalado, en el mes de febrero se cumplió con lo programado, observando que la contratación de prestación de servicios con personas naturales continúo siendo una de las más representativas para este mes de acuerdo con las necesidades de la Entidad.</v>
      </c>
      <c r="AG56" t="str">
        <f>+IFERROR(IF(ISBLANK(VLOOKUP(CONCATENATE($F56,"_",AG$4),Corporativa_2,MATCH(AG$3,Corporativa!$F$27:$O$27,0),0)),"",VLOOKUP(CONCATENATE($F56,"_",AG$4),Corporativa_2,MATCH(AG$3,Corporativa!$F$27:$O$27,0),0)),"")</f>
        <v>No se presentaron dificultades en el seguimiento a la
ejecución del PAA 2020  y de la ejecución presupuestal</v>
      </c>
      <c r="AH56" t="str">
        <f>+IFERROR(IF(ISBLANK(VLOOKUP(CONCATENATE($F56,"_",AH$4),Corporativa_2,MATCH(AH$3,Corporativa!$F$27:$O$27,0),0)),"",VLOOKUP(CONCATENATE($F56,"_",AH$4),Corporativa_2,MATCH(AH$3,Corporativa!$F$27:$O$27,0),0)),"")</f>
        <v>Se logró ejecutar el PAA 2020 de acuerdo a lo planeado, lo cual facilitó el inicio de operaciones de la vigencia sin contratiempos.</v>
      </c>
      <c r="AI56">
        <f>+IFERROR(IF(ISBLANK(VLOOKUP(CONCATENATE($F56,"_",AI$4),Corporativa_2,MATCH(AI$3,Corporativa!$F$27:$O$27,0),0)),"",VLOOKUP(CONCATENATE($F56,"_",AI$4),Corporativa_2,MATCH(AI$3,Corporativa!$F$27:$O$27,0),0)),"")</f>
        <v>1</v>
      </c>
      <c r="AJ56">
        <f>+IFERROR(IF(ISBLANK(VLOOKUP(CONCATENATE($F56,"_",AJ$4),Corporativa_2,MATCH(AJ$3,Corporativa!$F$27:$O$27,0),0)),"",VLOOKUP(CONCATENATE($F56,"_",AJ$4),Corporativa_2,MATCH(AJ$3,Corporativa!$F$27:$O$27,0),0)),"")</f>
        <v>1</v>
      </c>
      <c r="AK56" t="str">
        <f>+IFERROR(IF(ISBLANK(VLOOKUP(CONCATENATE($F56,"_",AK$4),Corporativa_2,MATCH(AK$3,Corporativa!$F$27:$O$27,0),0)),"",VLOOKUP(CONCATENATE($F56,"_",AK$4),Corporativa_2,MATCH(AK$3,Corporativa!$F$27:$O$27,0),0)),"")</f>
        <v>Marzo: 
En el mes de marzo se presenta la gestión de 60 líneas del Plan Anual de Adquisiciones representadas en 53 contratos de prestación de servicios profesionales o de apoyo a la gestión, 2 contratos de arrendamiento,1 donación,1 proceso por la modalidad de mínima cuantía, la suscripción de 1 contrato bajo el Decreto 092 de 2017 y la suscripción de una orden de compra. Lo anterior obedece a que las dependencias se encontraban estructurando los procesos de selección que al mes de marzo no habían radicado. Razón por la cual se inició con mesas de trabajo con todas las áreas en donde se realizó el monitoreo frente a la fecha posible de radicación de los procesos en la Dirección de Contratación a fin de generar alertas tempranas para las dependencias y el acompañamiento a las mismas, principalmente en la revisión del análisis del sector y diferentes aspectos técnicos necesarios para garantizar la pluralidad en los procesos. No obstante, la ejecución presupuestal es óptima para el mes de marzo, representada en $32.694.375.814 (33,8%) en gastos de funcionamiento y $ 27.330.414.312 (25,4%) en inversión.</v>
      </c>
      <c r="AL56" t="str">
        <f>+IFERROR(IF(ISBLANK(VLOOKUP(CONCATENATE($F56,"_",AL$4),Corporativa_2,MATCH(AL$3,Corporativa!$F$27:$O$27,0),0)),"",VLOOKUP(CONCATENATE($F56,"_",AL$4),Corporativa_2,MATCH(AL$3,Corporativa!$F$27:$O$27,0),0)),"")</f>
        <v>No se presentaron dificultades en el seguimiento a la
ejecución del PAA 2020  y de la ejecución presupuestal</v>
      </c>
      <c r="AM56" t="str">
        <f>+IFERROR(IF(ISBLANK(VLOOKUP(CONCATENATE($F56,"_",AM$4),Corporativa_2,MATCH(AM$3,Corporativa!$F$27:$O$27,0),0)),"",VLOOKUP(CONCATENATE($F56,"_",AM$4),Corporativa_2,MATCH(AM$3,Corporativa!$F$27:$O$27,0),0)),"")</f>
        <v>Se logró ejecutar el PAA 2020 de acuerdo con lo planeado a pesar de la contingencia derivada por el covid, lo que permitió que las dependencias pudieran satisfacer las necesidades urgentes para el logro de los objetivos institucionales</v>
      </c>
      <c r="AN56">
        <f>+IFERROR(IF(ISBLANK(VLOOKUP(CONCATENATE($F56,"_",AN$4),Corporativa_2,MATCH(AN$3,Corporativa!$F$27:$O$27,0),0)),"",VLOOKUP(CONCATENATE($F56,"_",AN$4),Corporativa_2,MATCH(AN$3,Corporativa!$F$27:$O$27,0),0)),"")</f>
        <v>1</v>
      </c>
      <c r="AO56">
        <f>+IFERROR(IF(ISBLANK(VLOOKUP(CONCATENATE($F56,"_",AO$4),Corporativa_2,MATCH(AO$3,Corporativa!$F$27:$O$27,0),0)),"",VLOOKUP(CONCATENATE($F56,"_",AO$4),Corporativa_2,MATCH(AO$3,Corporativa!$F$27:$O$27,0),0)),"")</f>
        <v>1</v>
      </c>
      <c r="AP56" t="str">
        <f>+IFERROR(IF(ISBLANK(VLOOKUP(CONCATENATE($F56,"_",AP$4),Corporativa_2,MATCH(AP$3,Corporativa!$F$27:$O$27,0),0)),"",VLOOKUP(CONCATENATE($F56,"_",AP$4),Corporativa_2,MATCH(AP$3,Corporativa!$F$27:$O$27,0),0)),"")</f>
        <v>Abril
En el mes de abril, se presenta la gestión de 56 líneas del Plan Anual de Adquisiciones representadas en 46 contratos de prestación de servicios profesionales o de apoyo a la gestión, 1 contrato de arrendamiento, 1 Convenio Interadministrativo, 1contrato interadministrativo, 3 procesos en la modalidad de mínima cuantía, 2 subastas inversas Electrónicas, y 1 menor cuantía. Dicho decrecimiento en el número de solicitudes contractuales se debió principalmente al confinamiento obligatorio derivado del estado de emergencia por la pandemia de COVID-19 y la imposibilidad para varias dependencias en adelantar estudios de mercado pues los sectores económicos se encontraban cerrados. No obstante, se buscaron mecanismos para continuar con la programación inicial del Plan Anual de Adquisiciones y se establecieron procedimientos para acompañar a las dependencias de manera remota. No obstante, a la contingencia en el mes se observa un comportamiento optimo en la ejecución presupuestal siendo para los gastos de funcionamiento de $38.302.590.718 (39,6%) y $36.189.502.989 (33,6%) en gastos de inversión.</v>
      </c>
      <c r="AQ56" t="str">
        <f>+IFERROR(IF(ISBLANK(VLOOKUP(CONCATENATE($F56,"_",AQ$4),Corporativa_2,MATCH(AQ$3,Corporativa!$F$27:$O$27,0),0)),"",VLOOKUP(CONCATENATE($F56,"_",AQ$4),Corporativa_2,MATCH(AQ$3,Corporativa!$F$27:$O$27,0),0)),"")</f>
        <v>No se presentaron dificultades en el seguimiento a la
ejecución del PAA 2020  y de la ejecución presupuestal</v>
      </c>
      <c r="AR56" t="str">
        <f>+IFERROR(IF(ISBLANK(VLOOKUP(CONCATENATE($F56,"_",AR$4),Corporativa_2,MATCH(AR$3,Corporativa!$F$27:$O$27,0),0)),"",VLOOKUP(CONCATENATE($F56,"_",AR$4),Corporativa_2,MATCH(AR$3,Corporativa!$F$27:$O$27,0),0)),"")</f>
        <v>Se logró ejecutar el PAA 2020 de acuerdo con lo planeado a pesar de la contingencia derivada por el covid, lo que permitió que las dependencias pudieran satisfacer las necesidades urgentes para el logro de los objetivos institucionales</v>
      </c>
      <c r="AS56">
        <f>+IFERROR(IF(ISBLANK(VLOOKUP(CONCATENATE($F56,"_",AS$4),Corporativa_2,MATCH(AS$3,Corporativa!$F$27:$O$27,0),0)),"",VLOOKUP(CONCATENATE($F56,"_",AS$4),Corporativa_2,MATCH(AS$3,Corporativa!$F$27:$O$27,0),0)),"")</f>
        <v>1</v>
      </c>
      <c r="AT56">
        <f>+IFERROR(IF(ISBLANK(VLOOKUP(CONCATENATE($F56,"_",AT$4),Corporativa_2,MATCH(AT$3,Corporativa!$F$27:$O$27,0),0)),"",VLOOKUP(CONCATENATE($F56,"_",AT$4),Corporativa_2,MATCH(AT$3,Corporativa!$F$27:$O$27,0),0)),"")</f>
        <v>1</v>
      </c>
      <c r="AU56" t="str">
        <f>+IFERROR(IF(ISBLANK(VLOOKUP(CONCATENATE($F56,"_",AU$4),Corporativa_2,MATCH(AU$3,Corporativa!$F$27:$O$27,0),0)),"",VLOOKUP(CONCATENATE($F56,"_",AU$4),Corporativa_2,MATCH(AU$3,Corporativa!$F$27:$O$27,0),0)),"")</f>
        <v xml:space="preserve">Mayo
Para el mes de mayo se observa la gestión de 59 líneas del Plan Anual de Adquisiciones representadas en 59 contratos de prestación de servicios profesionales o de apoyo a la gestión, 1 Concurso de méritos, 1 directa por exclusividad, 1 donación,1 selección abreviada por literal h, 5 procesos en la modalidad de mínima cuantía y 11 órdenes de compra suscritas. Lo anterior, resulta de una gestión juiciosa de las dependencias a pesar de la contingencia generada en el mes de marzo con respecto a la pandemia. Se observa, la gestión de varios procesos de selección que fueron adjudicados en el mes de mayo y la gestión eficiente de las solicitudes de contratación que fueron radicadas en la Dirección de Contratación. En cuanto al comportamiento de ala ejecución presupuestal se observa que durante el mes de mayo se produjo una modificación presupuestal por recortes derivados de la pandemia, siendo el nuevo presupuesto de inversión de                          $99.564.019.024 y $94.884.732.429 por funcionamiento, en donde la ejecución fue de $45.971.090.419 (46,2%) y  $36.189.502.989 (38.1%) respectivamente.
</v>
      </c>
      <c r="AV56" t="str">
        <f>+IFERROR(IF(ISBLANK(VLOOKUP(CONCATENATE($F56,"_",AV$4),Corporativa_2,MATCH(AV$3,Corporativa!$F$27:$O$27,0),0)),"",VLOOKUP(CONCATENATE($F56,"_",AV$4),Corporativa_2,MATCH(AV$3,Corporativa!$F$27:$O$27,0),0)),"")</f>
        <v>No se presentaron dificultades en el seguimiento a la
ejecución del PAA 2020  y de la ejecución presupuestal</v>
      </c>
      <c r="AW56" t="str">
        <f>+IFERROR(IF(ISBLANK(VLOOKUP(CONCATENATE($F56,"_",AW$4),Corporativa_2,MATCH(AW$3,Corporativa!$F$27:$O$27,0),0)),"",VLOOKUP(CONCATENATE($F56,"_",AW$4),Corporativa_2,MATCH(AW$3,Corporativa!$F$27:$O$27,0),0)),"")</f>
        <v>Se logró ejecutar el PAA 2020 de acuerdo con lo planeado a pesar de la contingencia derivada por el covid, lo que permitió que las dependencias pudieran satisfacer las necesidades urgentes para el logro de los objetivos institucionales</v>
      </c>
      <c r="AX56">
        <f>+IFERROR(IF(ISBLANK(VLOOKUP(CONCATENATE($F56,"_",AX$4),Corporativa_2,MATCH(AX$3,Corporativa!$F$27:$O$27,0),0)),"",VLOOKUP(CONCATENATE($F56,"_",AX$4),Corporativa_2,MATCH(AX$3,Corporativa!$F$27:$O$27,0),0)),"")</f>
        <v>1</v>
      </c>
      <c r="AY56">
        <f>+IFERROR(IF(ISBLANK(VLOOKUP(CONCATENATE($F56,"_",AY$4),Corporativa_2,MATCH(AY$3,Corporativa!$F$27:$O$27,0),0)),"",VLOOKUP(CONCATENATE($F56,"_",AY$4),Corporativa_2,MATCH(AY$3,Corporativa!$F$27:$O$27,0),0)),"")</f>
        <v>1</v>
      </c>
      <c r="AZ56" t="str">
        <f>+IFERROR(IF(ISBLANK(VLOOKUP(CONCATENATE($F56,"_",AZ$4),Corporativa_2,MATCH(AZ$3,Corporativa!$F$27:$O$27,0),0)),"",VLOOKUP(CONCATENATE($F56,"_",AZ$4),Corporativa_2,MATCH(AZ$3,Corporativa!$F$27:$O$27,0),0)),"")</f>
        <v>Junio
Para el mes de junio se observa la gestión de 13 líneas del Plan Anual de Adquisiciones representadas en 7 procesos adelantados por medio de contratación directa, 1 Concurso de méritos, 1 licitación pública, 1 proceso en la modalidad de mínima cuantía y 3 subastas inversas electrónicas. Lo anterior, teniendo en cuenta que durante el mes de junio de 2020 la entidad se encontraba en proceso de armonización presupuestal y por lo tanto los procesos que serían adelantados con recursos de inversión quedaron suspendidos. Por lo anterior la gestión en materia contractual se centro en la ejecución de contratos generados por gastos de funcionamiento. En cuanto al comportamiento de la ejecución presupuestal se observa que durante el mes de junio había disponible $194.448.751.453 distribuidos en $94.884.732.429 correspondientes a gastos de funcionamiento y $99.564.019.024 que hacen parte del presupuesto de inversión,  de los cuales se observa una ejecución  de $55.877.137.402 (58,89%)  y $45.924.060.919 ( 46,13%) respectivamente, observando que para el mes de junio la entidad en total contaba con compromisos acumulados tanto en gasto de funcionamiento como de inversión en el orden de  $101.801.198.321 correspondiente  a una ejecución presupuestal del 52.35%.</v>
      </c>
      <c r="BA56" t="str">
        <f>+IFERROR(IF(ISBLANK(VLOOKUP(CONCATENATE($F56,"_",BA$4),Corporativa_2,MATCH(BA$3,Corporativa!$F$27:$O$27,0),0)),"",VLOOKUP(CONCATENATE($F56,"_",BA$4),Corporativa_2,MATCH(BA$3,Corporativa!$F$27:$O$27,0),0)),"")</f>
        <v>No se presentaron dificultades en el seguimiento a la
ejecución del PAA 2020  y de la ejecución presupuestal</v>
      </c>
      <c r="BB56" t="str">
        <f>+IFERROR(IF(ISBLANK(VLOOKUP(CONCATENATE($F56,"_",BB$4),Corporativa_2,MATCH(BB$3,Corporativa!$F$27:$O$27,0),0)),"",VLOOKUP(CONCATENATE($F56,"_",BB$4),Corporativa_2,MATCH(BB$3,Corporativa!$F$27:$O$27,0),0)),"")</f>
        <v>Se logró ejecutar el PAA 2020 de acuerdo con lo planeado, lo que permitió que las dependencias pudieran satisfacer las necesidades  para el logro de los objetivos institucionales</v>
      </c>
      <c r="BC56">
        <f t="shared" si="10"/>
        <v>6</v>
      </c>
      <c r="BD56">
        <f t="shared" si="10"/>
        <v>6</v>
      </c>
      <c r="BE56" s="129" t="str">
        <f>+IFERROR(IF(ISBLANK(VLOOKUP(CONCATENATE($F56,"_",BE$4),P1156_4,MATCH(BE$3,PAAC!$E$19:$M$19,0),0)),"",VLOOKUP(CONCATENATE($F56,"_",BE$4),P1156_4,MATCH(BE$3,PAAC!$E$19:$M$19,0),0)),"")</f>
        <v/>
      </c>
      <c r="BF56" s="129" t="str">
        <f>+IFERROR(IF(ISBLANK(VLOOKUP(CONCATENATE($F56,"_",BF$4),P1156_4,MATCH(BF$3,PAAC!$E$19:$M$19,0),0)),"",VLOOKUP(CONCATENATE($F56,"_",BF$4),P1156_4,MATCH(BF$3,PAAC!$E$19:$M$19,0),0)),"")</f>
        <v/>
      </c>
      <c r="BG56" s="129" t="str">
        <f>+IFERROR(IF(ISBLANK(VLOOKUP(CONCATENATE($F56,"_",BG$4),P1156_4,MATCH(BG$3,PAAC!$E$19:$M$19,0),0)),"",VLOOKUP(CONCATENATE($F56,"_",BG$4),P1156_4,MATCH(BG$3,PAAC!$E$19:$M$19,0),0)),"")</f>
        <v/>
      </c>
      <c r="BH56" s="129" t="str">
        <f>+IFERROR(IF(ISBLANK(VLOOKUP(CONCATENATE($F56,"_",BH$4),P1156_4,MATCH(BH$3,PAAC!$E$19:$M$19,0),0)),"",VLOOKUP(CONCATENATE($F56,"_",BH$4),P1156_4,MATCH(BH$3,PAAC!$E$19:$M$19,0),0)),"")</f>
        <v/>
      </c>
      <c r="BI56" s="129" t="str">
        <f>+IFERROR(IF(ISBLANK(VLOOKUP(CONCATENATE($F56,"_",BI$4),P1156_4,MATCH(BI$3,PAAC!$E$19:$M$19,0),0)),"",VLOOKUP(CONCATENATE($F56,"_",BI$4),P1156_4,MATCH(BI$3,PAAC!$E$19:$M$19,0),0)),"")</f>
        <v/>
      </c>
      <c r="BJ56" s="129" t="str">
        <f>+IFERROR(IF(ISBLANK(VLOOKUP(CONCATENATE($F56,"_",BJ$4),P1156_4,MATCH(BJ$3,PAAC!$E$19:$M$19,0),0)),"",VLOOKUP(CONCATENATE($F56,"_",BJ$4),P1156_4,MATCH(BJ$3,PAAC!$E$19:$M$19,0),0)),"")</f>
        <v/>
      </c>
      <c r="BK56" s="129" t="str">
        <f>+IFERROR(IF(ISBLANK(VLOOKUP(CONCATENATE($F56,"_",BK$4),P1156_4,MATCH(BK$3,PAAC!$E$19:$M$19,0),0)),"",VLOOKUP(CONCATENATE($F56,"_",BK$4),P1156_4,MATCH(BK$3,PAAC!$E$19:$M$19,0),0)),"")</f>
        <v/>
      </c>
      <c r="BL56" s="129" t="str">
        <f>+IFERROR(IF(ISBLANK(VLOOKUP(CONCATENATE($F56,"_",BL$4),P1156_4,MATCH(BL$3,PAAC!$E$19:$M$19,0),0)),"",VLOOKUP(CONCATENATE($F56,"_",BL$4),P1156_4,MATCH(BL$3,PAAC!$E$19:$M$19,0),0)),"")</f>
        <v/>
      </c>
      <c r="BM56" s="129" t="str">
        <f>+IFERROR(IF(ISBLANK(VLOOKUP(CONCATENATE($F56,"_",BM$4),P1156_4,MATCH(BM$3,PAAC!$E$19:$M$19,0),0)),"",VLOOKUP(CONCATENATE($F56,"_",BM$4),P1156_4,MATCH(BM$3,PAAC!$E$19:$M$19,0),0)),"")</f>
        <v/>
      </c>
      <c r="BN56" s="129" t="str">
        <f>+IFERROR(IF(ISBLANK(VLOOKUP(CONCATENATE($F56,"_",BN$4),P1156_4,MATCH(BN$3,PAAC!$E$19:$M$19,0),0)),"",VLOOKUP(CONCATENATE($F56,"_",BN$4),P1156_4,MATCH(BN$3,PAAC!$E$19:$M$19,0),0)),"")</f>
        <v/>
      </c>
      <c r="BO56" s="129" t="str">
        <f>+IFERROR(IF(ISBLANK(VLOOKUP(CONCATENATE($F56,"_",BO$4),P1156_4,MATCH(BO$3,PAAC!$E$19:$M$19,0),0)),"",VLOOKUP(CONCATENATE($F56,"_",BO$4),P1156_4,MATCH(BO$3,PAAC!$E$19:$M$19,0),0)),"")</f>
        <v/>
      </c>
      <c r="BP56" s="129" t="str">
        <f>+IFERROR(IF(ISBLANK(VLOOKUP(CONCATENATE($F56,"_",BP$4),P1156_4,MATCH(BP$3,PAAC!$E$19:$M$19,0),0)),"",VLOOKUP(CONCATENATE($F56,"_",BP$4),P1156_4,MATCH(BP$3,PAAC!$E$19:$M$19,0),0)),"")</f>
        <v/>
      </c>
      <c r="BQ56" s="129" t="str">
        <f>+IFERROR(IF(ISBLANK(VLOOKUP(CONCATENATE($F56,"_",BQ$4),P1156_4,MATCH(BQ$3,PAAC!$E$19:$M$19,0),0)),"",VLOOKUP(CONCATENATE($F56,"_",BQ$4),P1156_4,MATCH(BQ$3,PAAC!$E$19:$M$19,0),0)),"")</f>
        <v/>
      </c>
      <c r="BR56" s="129" t="str">
        <f>+IFERROR(IF(ISBLANK(VLOOKUP(CONCATENATE($F56,"_",BR$4),P1156_4,MATCH(BR$3,PAAC!$E$19:$M$19,0),0)),"",VLOOKUP(CONCATENATE($F56,"_",BR$4),P1156_4,MATCH(BR$3,PAAC!$E$19:$M$19,0),0)),"")</f>
        <v/>
      </c>
      <c r="BS56" s="129" t="str">
        <f>+IFERROR(IF(ISBLANK(VLOOKUP(CONCATENATE($F56,"_",BS$4),P1156_4,MATCH(BS$3,PAAC!$E$19:$M$19,0),0)),"",VLOOKUP(CONCATENATE($F56,"_",BS$4),P1156_4,MATCH(BS$3,PAAC!$E$19:$M$19,0),0)),"")</f>
        <v/>
      </c>
      <c r="BT56" s="129" t="str">
        <f>+IFERROR(IF(ISBLANK(VLOOKUP(CONCATENATE($F56,"_",BT$4),P1156_4,MATCH(BT$3,PAAC!$E$19:$M$19,0),0)),"",VLOOKUP(CONCATENATE($F56,"_",BT$4),P1156_4,MATCH(BT$3,PAAC!$E$19:$M$19,0),0)),"")</f>
        <v/>
      </c>
      <c r="BU56" s="129" t="str">
        <f>+IFERROR(IF(ISBLANK(VLOOKUP(CONCATENATE($F56,"_",BU$4),P1156_4,MATCH(BU$3,PAAC!$E$19:$M$19,0),0)),"",VLOOKUP(CONCATENATE($F56,"_",BU$4),P1156_4,MATCH(BU$3,PAAC!$E$19:$M$19,0),0)),"")</f>
        <v/>
      </c>
      <c r="BV56" s="129" t="str">
        <f>+IFERROR(IF(ISBLANK(VLOOKUP(CONCATENATE($F56,"_",BV$4),P1156_4,MATCH(BV$3,PAAC!$E$19:$M$19,0),0)),"",VLOOKUP(CONCATENATE($F56,"_",BV$4),P1156_4,MATCH(BV$3,PAAC!$E$19:$M$19,0),0)),"")</f>
        <v/>
      </c>
      <c r="BW56" s="129" t="str">
        <f>+IFERROR(IF(ISBLANK(VLOOKUP(CONCATENATE($F56,"_",BW$4),P1156_4,MATCH(BW$3,PAAC!$E$19:$M$19,0),0)),"",VLOOKUP(CONCATENATE($F56,"_",BW$4),P1156_4,MATCH(BW$3,PAAC!$E$19:$M$19,0),0)),"")</f>
        <v/>
      </c>
      <c r="BX56" s="129" t="str">
        <f>+IFERROR(IF(ISBLANK(VLOOKUP(CONCATENATE($F56,"_",BX$4),P1156_4,MATCH(BX$3,PAAC!$E$19:$M$19,0),0)),"",VLOOKUP(CONCATENATE($F56,"_",BX$4),P1156_4,MATCH(BX$3,PAAC!$E$19:$M$19,0),0)),"")</f>
        <v/>
      </c>
      <c r="BY56" s="129" t="str">
        <f>+IFERROR(IF(ISBLANK(VLOOKUP(CONCATENATE($F56,"_",BY$4),P1156_4,MATCH(BY$3,PAAC!$E$19:$M$19,0),0)),"",VLOOKUP(CONCATENATE($F56,"_",BY$4),P1156_4,MATCH(BY$3,PAAC!$E$19:$M$19,0),0)),"")</f>
        <v/>
      </c>
      <c r="BZ56" s="129" t="str">
        <f>+IFERROR(IF(ISBLANK(VLOOKUP(CONCATENATE($F56,"_",BZ$4),P1156_4,MATCH(BZ$3,PAAC!$E$19:$M$19,0),0)),"",VLOOKUP(CONCATENATE($F56,"_",BZ$4),P1156_4,MATCH(BZ$3,PAAC!$E$19:$M$19,0),0)),"")</f>
        <v/>
      </c>
      <c r="CA56" s="129" t="str">
        <f>+IFERROR(IF(ISBLANK(VLOOKUP(CONCATENATE($F56,"_",CA$4),P1156_4,MATCH(CA$3,PAAC!$E$19:$M$19,0),0)),"",VLOOKUP(CONCATENATE($F56,"_",CA$4),P1156_4,MATCH(CA$3,PAAC!$E$19:$M$19,0),0)),"")</f>
        <v/>
      </c>
      <c r="CB56" s="129" t="str">
        <f>+IFERROR(IF(ISBLANK(VLOOKUP(CONCATENATE($F56,"_",CB$4),P1156_4,MATCH(CB$3,PAAC!$E$19:$M$19,0),0)),"",VLOOKUP(CONCATENATE($F56,"_",CB$4),P1156_4,MATCH(CB$3,PAAC!$E$19:$M$19,0),0)),"")</f>
        <v/>
      </c>
      <c r="CC56" s="129" t="str">
        <f>+IFERROR(IF(ISBLANK(VLOOKUP(CONCATENATE($F56,"_",CC$4),P1156_4,MATCH(CC$3,PAAC!$E$19:$M$19,0),0)),"",VLOOKUP(CONCATENATE($F56,"_",CC$4),P1156_4,MATCH(CC$3,PAAC!$E$19:$M$19,0),0)),"")</f>
        <v/>
      </c>
      <c r="CD56" s="129" t="str">
        <f t="shared" si="11"/>
        <v/>
      </c>
      <c r="CE56" s="129" t="str">
        <f t="shared" si="3"/>
        <v/>
      </c>
      <c r="CF56" s="129" t="str">
        <f t="shared" si="4"/>
        <v/>
      </c>
      <c r="CG56" s="129" t="str">
        <f t="shared" si="5"/>
        <v/>
      </c>
      <c r="CH56" s="129" t="str">
        <f t="shared" si="6"/>
        <v/>
      </c>
      <c r="CI56" t="str">
        <f t="shared" ref="CI56:CR69" si="45">+VLOOKUP($F56,Corporativa_R,CI$4,0)</f>
        <v>No aplica</v>
      </c>
      <c r="CJ56" t="str">
        <f t="shared" si="45"/>
        <v>Cumplido</v>
      </c>
      <c r="CK56" t="str">
        <f t="shared" si="45"/>
        <v>Adecuado</v>
      </c>
      <c r="CL56" t="str">
        <f t="shared" si="45"/>
        <v>Coherente</v>
      </c>
      <c r="CM56" t="str">
        <f t="shared" si="45"/>
        <v>Concuerda</v>
      </c>
      <c r="CN56" t="str">
        <f t="shared" si="45"/>
        <v>No aplica</v>
      </c>
      <c r="CO56" t="str">
        <f t="shared" si="45"/>
        <v>Relación directa</v>
      </c>
      <c r="CP56" t="str">
        <f t="shared" si="45"/>
        <v>Adecuado</v>
      </c>
      <c r="CQ56" t="str">
        <f t="shared" si="45"/>
        <v>Oportuna</v>
      </c>
      <c r="CR56" t="str">
        <f t="shared" si="45"/>
        <v>No aplica</v>
      </c>
      <c r="CS56" t="str">
        <f t="shared" ref="CS56:DB69" si="46">+VLOOKUP($F56,Corporativa_R,CS$4,0)</f>
        <v>Bibiana Rodríguez González</v>
      </c>
      <c r="CT56" t="str">
        <f t="shared" si="46"/>
        <v>No aplica</v>
      </c>
      <c r="CU56" t="str">
        <f t="shared" si="46"/>
        <v>Cumplido</v>
      </c>
      <c r="CV56" t="str">
        <f t="shared" si="46"/>
        <v>Adecuado</v>
      </c>
      <c r="CW56" t="str">
        <f t="shared" si="46"/>
        <v>Coherente</v>
      </c>
      <c r="CX56" t="str">
        <f t="shared" si="46"/>
        <v>Concuerda</v>
      </c>
      <c r="CY56" t="str">
        <f t="shared" si="46"/>
        <v>No aplica</v>
      </c>
      <c r="CZ56" t="str">
        <f t="shared" si="46"/>
        <v>Relación directa</v>
      </c>
      <c r="DA56" t="str">
        <f t="shared" si="46"/>
        <v>Adecuado</v>
      </c>
      <c r="DB56" t="str">
        <f t="shared" si="46"/>
        <v>Oportuna</v>
      </c>
      <c r="DC56" t="str">
        <f t="shared" ref="DC56:DL69" si="47">+VLOOKUP($F56,Corporativa_R,DC$4,0)</f>
        <v>No aplica</v>
      </c>
      <c r="DD56" t="str">
        <f t="shared" si="47"/>
        <v>Bibiana Rodríguez González</v>
      </c>
      <c r="DE56" t="e">
        <f t="shared" si="47"/>
        <v>#REF!</v>
      </c>
      <c r="DF56" t="e">
        <f t="shared" si="47"/>
        <v>#REF!</v>
      </c>
      <c r="DG56" t="e">
        <f t="shared" si="47"/>
        <v>#REF!</v>
      </c>
      <c r="DH56" t="e">
        <f t="shared" si="47"/>
        <v>#REF!</v>
      </c>
      <c r="DI56" t="e">
        <f t="shared" si="47"/>
        <v>#REF!</v>
      </c>
      <c r="DJ56" t="e">
        <f t="shared" si="47"/>
        <v>#REF!</v>
      </c>
      <c r="DK56" t="e">
        <f t="shared" si="47"/>
        <v>#REF!</v>
      </c>
      <c r="DL56" t="e">
        <f t="shared" si="47"/>
        <v>#REF!</v>
      </c>
      <c r="DM56" t="e">
        <f t="shared" ref="DM56:DX69" si="48">+VLOOKUP($F56,Corporativa_R,DM$4,0)</f>
        <v>#REF!</v>
      </c>
      <c r="DN56" t="e">
        <f t="shared" si="48"/>
        <v>#REF!</v>
      </c>
      <c r="DO56" t="e">
        <f t="shared" si="48"/>
        <v>#REF!</v>
      </c>
      <c r="DP56" t="e">
        <f t="shared" si="48"/>
        <v>#REF!</v>
      </c>
      <c r="DQ56" t="e">
        <f t="shared" si="48"/>
        <v>#REF!</v>
      </c>
      <c r="DR56" t="e">
        <f t="shared" si="48"/>
        <v>#REF!</v>
      </c>
      <c r="DS56" t="e">
        <f t="shared" si="48"/>
        <v>#REF!</v>
      </c>
      <c r="DT56" t="e">
        <f t="shared" si="48"/>
        <v>#REF!</v>
      </c>
      <c r="DU56" t="e">
        <f t="shared" si="48"/>
        <v>#REF!</v>
      </c>
      <c r="DV56" t="e">
        <f t="shared" si="48"/>
        <v>#REF!</v>
      </c>
      <c r="DW56" t="e">
        <f t="shared" si="48"/>
        <v>#REF!</v>
      </c>
      <c r="DX56" t="e">
        <f t="shared" si="48"/>
        <v>#REF!</v>
      </c>
    </row>
    <row r="57" spans="1:128" x14ac:dyDescent="0.3">
      <c r="A57" s="423">
        <f t="shared" si="16"/>
        <v>101</v>
      </c>
      <c r="B57" t="str">
        <f t="shared" si="17"/>
        <v>1_Dirección de Talento Humano</v>
      </c>
      <c r="C57">
        <f t="shared" si="8"/>
        <v>1</v>
      </c>
      <c r="D57" t="str">
        <f t="shared" si="0"/>
        <v>Dirección de Talento Humano</v>
      </c>
      <c r="E57" t="str">
        <f t="shared" si="1"/>
        <v>dth</v>
      </c>
      <c r="F57" s="207">
        <f>Corporativa!D11</f>
        <v>101</v>
      </c>
      <c r="G57" t="str">
        <f t="shared" si="30"/>
        <v>Constante</v>
      </c>
      <c r="H57" t="str">
        <f t="shared" si="30"/>
        <v>Porcentaje</v>
      </c>
      <c r="I57">
        <f t="shared" si="30"/>
        <v>1</v>
      </c>
      <c r="J57">
        <f t="shared" si="30"/>
        <v>1</v>
      </c>
      <c r="K57" t="str">
        <f>+IFERROR(VLOOKUP($F57,Corporativa_1,MATCH(K$5,Corporativa!$D$9:$V$9,0),0),"")</f>
        <v>Suma</v>
      </c>
      <c r="L57">
        <f>+IFERROR(VLOOKUP($F57,Corporativa_1,MATCH(L$5,Corporativa!$D$9:$V$9,0),0),"")</f>
        <v>4</v>
      </c>
      <c r="M57">
        <f t="shared" si="40"/>
        <v>2</v>
      </c>
      <c r="N57">
        <f>+IFERROR(VLOOKUP($F57,Corporativa_1,MATCH(N$5,Corporativa!$D$9:$V$9,0),0),"")</f>
        <v>0</v>
      </c>
      <c r="O57">
        <f>+IFERROR(VLOOKUP($F57,Corporativa_1,MATCH(O$5,Corporativa!$D$9:$V$9,0),0),"")</f>
        <v>1</v>
      </c>
      <c r="P57">
        <f>+IFERROR(VLOOKUP($F57,Corporativa_1,MATCH(P$5,Corporativa!$D$9:$V$9,0),0),"")</f>
        <v>1</v>
      </c>
      <c r="Q57">
        <f>+IFERROR(VLOOKUP($F57,Corporativa_1,MATCH(Q$5,Corporativa!$D$9:$V$9,0),0),"")</f>
        <v>1</v>
      </c>
      <c r="R57">
        <f>+IFERROR(VLOOKUP($F57,Corporativa_1,MATCH(R$5,Corporativa!$D$9:$V$9,0),0),"")</f>
        <v>1</v>
      </c>
      <c r="S57">
        <f>+IFERROR(VLOOKUP($F57,Corporativa_1,MATCH(S$5,Corporativa!$D$9:$V$9,0),0),"")</f>
        <v>0</v>
      </c>
      <c r="T57">
        <f>+IFERROR(VLOOKUP($F57,Corporativa_1,MATCH(T$5,Corporativa!$D$9:$V$9,0),0),"")</f>
        <v>100</v>
      </c>
      <c r="U57" t="str">
        <f>+IFERROR(VLOOKUP($F57,Corporativa_1,MATCH(U$5,Corporativa!$D$9:$V$9,0),0),"")</f>
        <v>Porcentaje de cumplimiento del Plan de Trabajo Anual del Sistema de Gestión de Seguridad y Salud en el Trabajo de la Secretaría General de la Alcaldía Mayor de Bogotá, D.C.</v>
      </c>
      <c r="V57" t="str">
        <f>+IFERROR(VLOOKUP($F57,Corporativa_1,MATCH(V$5,Corporativa!$D$9:$V$9,0),0),"")</f>
        <v>• jornadas de promoción, prevención e intervención de riesgos en materia de seguridad y salud en el trabajo</v>
      </c>
      <c r="W57" t="str">
        <f>+IFERROR(VLOOKUP($F57,Corporativa_1,MATCH(W$5,Corporativa!$D$9:$V$9,0),0),"")</f>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
      <c r="X57" t="str">
        <f>+IFERROR(VLOOKUP($F57,Corporativa_1,MATCH(X$5,Corporativa!$D$9:$V$9,0),0),"")</f>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
      <c r="Y57">
        <f>+IFERROR(IF(ISBLANK(VLOOKUP(CONCATENATE($F57,"_",Y$4),Corporativa_2,MATCH(Y$3,Corporativa!$F$27:$O$27,0),0)),"",VLOOKUP(CONCATENATE($F57,"_",Y$4),Corporativa_2,MATCH(Y$3,Corporativa!$F$27:$O$27,0),0)),"")</f>
        <v>0</v>
      </c>
      <c r="Z57">
        <f>+IFERROR(IF(ISBLANK(VLOOKUP(CONCATENATE($F57,"_",Z$4),Corporativa_2,MATCH(Z$3,Corporativa!$F$27:$O$27,0),0)),"",VLOOKUP(CONCATENATE($F57,"_",Z$4),Corporativa_2,MATCH(Z$3,Corporativa!$F$27:$O$27,0),0)),"")</f>
        <v>0</v>
      </c>
      <c r="AA57" t="str">
        <f>+IFERROR(IF(ISBLANK(VLOOKUP(CONCATENATE($F57,"_",AA$4),Corporativa_2,MATCH(AA$3,Corporativa!$F$27:$O$27,0),0)),"",VLOOKUP(CONCATENATE($F57,"_",AA$4),Corporativa_2,MATCH(AA$3,Corporativa!$F$27:$O$27,0),0)),"")</f>
        <v>No se programaron actividades para cierre en el mes.</v>
      </c>
      <c r="AB57" t="str">
        <f>+IFERROR(IF(ISBLANK(VLOOKUP(CONCATENATE($F57,"_",AB$4),Corporativa_2,MATCH(AB$3,Corporativa!$F$27:$O$27,0),0)),"",VLOOKUP(CONCATENATE($F57,"_",AB$4),Corporativa_2,MATCH(AB$3,Corporativa!$F$27:$O$27,0),0)),"")</f>
        <v>No aplica para este mes</v>
      </c>
      <c r="AC57" t="str">
        <f>+IFERROR(IF(ISBLANK(VLOOKUP(CONCATENATE($F57,"_",AC$4),Corporativa_2,MATCH(AC$3,Corporativa!$F$27:$O$27,0),0)),"",VLOOKUP(CONCATENATE($F57,"_",AC$4),Corporativa_2,MATCH(AC$3,Corporativa!$F$27:$O$27,0),0)),"")</f>
        <v>No aplica para este mes</v>
      </c>
      <c r="AD57">
        <f>+IFERROR(IF(ISBLANK(VLOOKUP(CONCATENATE($F57,"_",AD$4),Corporativa_2,MATCH(AD$3,Corporativa!$F$27:$O$27,0),0)),"",VLOOKUP(CONCATENATE($F57,"_",AD$4),Corporativa_2,MATCH(AD$3,Corporativa!$F$27:$O$27,0),0)),"")</f>
        <v>0</v>
      </c>
      <c r="AE57">
        <f>+IFERROR(IF(ISBLANK(VLOOKUP(CONCATENATE($F57,"_",AE$4),Corporativa_2,MATCH(AE$3,Corporativa!$F$27:$O$27,0),0)),"",VLOOKUP(CONCATENATE($F57,"_",AE$4),Corporativa_2,MATCH(AE$3,Corporativa!$F$27:$O$27,0),0)),"")</f>
        <v>1</v>
      </c>
      <c r="AF57" t="str">
        <f>+IFERROR(IF(ISBLANK(VLOOKUP(CONCATENATE($F57,"_",AF$4),Corporativa_2,MATCH(AF$3,Corporativa!$F$27:$O$27,0),0)),"",VLOOKUP(CONCATENATE($F57,"_",AF$4),Corporativa_2,MATCH(AF$3,Corporativa!$F$27:$O$27,0),0)),"")</f>
        <v>Ninguno</v>
      </c>
      <c r="AG57" t="str">
        <f>+IFERROR(IF(ISBLANK(VLOOKUP(CONCATENATE($F57,"_",AG$4),Corporativa_2,MATCH(AG$3,Corporativa!$F$27:$O$27,0),0)),"",VLOOKUP(CONCATENATE($F57,"_",AG$4),Corporativa_2,MATCH(AG$3,Corporativa!$F$27:$O$27,0),0)),"")</f>
        <v>Se desarrolla el informe de gestión de la vigencia 2019, se tiene pendiente el proceso de divulgación con la alta dirección según modificaciones solicitadas por la Dirección de Talento Humano.</v>
      </c>
      <c r="AH57" t="str">
        <f>+IFERROR(IF(ISBLANK(VLOOKUP(CONCATENATE($F57,"_",AH$4),Corporativa_2,MATCH(AH$3,Corporativa!$F$27:$O$27,0),0)),"",VLOOKUP(CONCATENATE($F57,"_",AH$4),Corporativa_2,MATCH(AH$3,Corporativa!$F$27:$O$27,0),0)),"")</f>
        <v>Garantizar la divulgación del informe de rendición de cuentas de la vigencia 2019 para retroalimentación por la alta dirección y mejoramiento del Sistema de Gestión de la Seguridad y Salud en el Trabajo.</v>
      </c>
      <c r="AI57">
        <f>+IFERROR(IF(ISBLANK(VLOOKUP(CONCATENATE($F57,"_",AI$4),Corporativa_2,MATCH(AI$3,Corporativa!$F$27:$O$27,0),0)),"",VLOOKUP(CONCATENATE($F57,"_",AI$4),Corporativa_2,MATCH(AI$3,Corporativa!$F$27:$O$27,0),0)),"")</f>
        <v>1</v>
      </c>
      <c r="AJ57">
        <f>+IFERROR(IF(ISBLANK(VLOOKUP(CONCATENATE($F57,"_",AJ$4),Corporativa_2,MATCH(AJ$3,Corporativa!$F$27:$O$27,0),0)),"",VLOOKUP(CONCATENATE($F57,"_",AJ$4),Corporativa_2,MATCH(AJ$3,Corporativa!$F$27:$O$27,0),0)),"")</f>
        <v>1</v>
      </c>
      <c r="AK57" t="str">
        <f>+IFERROR(IF(ISBLANK(VLOOKUP(CONCATENATE($F57,"_",AK$4),Corporativa_2,MATCH(AK$3,Corporativa!$F$27:$O$27,0),0)),"",VLOOKUP(CONCATENATE($F57,"_",AK$4),Corporativa_2,MATCH(AK$3,Corporativa!$F$27:$O$27,0),0)),"")</f>
        <v>Se realiza el cierre de:
1.	Capacitación: Cuerpo Sano.</v>
      </c>
      <c r="AL57" t="str">
        <f>+IFERROR(IF(ISBLANK(VLOOKUP(CONCATENATE($F57,"_",AL$4),Corporativa_2,MATCH(AL$3,Corporativa!$F$27:$O$27,0),0)),"",VLOOKUP(CONCATENATE($F57,"_",AL$4),Corporativa_2,MATCH(AL$3,Corporativa!$F$27:$O$27,0),0)),"")</f>
        <v>Ninguno</v>
      </c>
      <c r="AM57" t="str">
        <f>+IFERROR(IF(ISBLANK(VLOOKUP(CONCATENATE($F57,"_",AM$4),Corporativa_2,MATCH(AM$3,Corporativa!$F$27:$O$27,0),0)),"",VLOOKUP(CONCATENATE($F57,"_",AM$4),Corporativa_2,MATCH(AM$3,Corporativa!$F$27:$O$27,0),0)),"")</f>
        <v>Establecer una cultura de autocuidado, y de las medidas de prevención para la mitigación de contagio por Sars CoV 2 / COVID 19.</v>
      </c>
      <c r="AN57">
        <f>+IFERROR(IF(ISBLANK(VLOOKUP(CONCATENATE($F57,"_",AN$4),Corporativa_2,MATCH(AN$3,Corporativa!$F$27:$O$27,0),0)),"",VLOOKUP(CONCATENATE($F57,"_",AN$4),Corporativa_2,MATCH(AN$3,Corporativa!$F$27:$O$27,0),0)),"")</f>
        <v>1</v>
      </c>
      <c r="AO57">
        <f>+IFERROR(IF(ISBLANK(VLOOKUP(CONCATENATE($F57,"_",AO$4),Corporativa_2,MATCH(AO$3,Corporativa!$F$27:$O$27,0),0)),"",VLOOKUP(CONCATENATE($F57,"_",AO$4),Corporativa_2,MATCH(AO$3,Corporativa!$F$27:$O$27,0),0)),"")</f>
        <v>1</v>
      </c>
      <c r="AP57" t="str">
        <f>+IFERROR(IF(ISBLANK(VLOOKUP(CONCATENATE($F57,"_",AP$4),Corporativa_2,MATCH(AP$3,Corporativa!$F$27:$O$27,0),0)),"",VLOOKUP(CONCATENATE($F57,"_",AP$4),Corporativa_2,MATCH(AP$3,Corporativa!$F$27:$O$27,0),0)),"")</f>
        <v>Se realiza el cierre de:
1.	Capacitación Equipo SST en la Resolución 0312 de 2019.</v>
      </c>
      <c r="AQ57" t="str">
        <f>+IFERROR(IF(ISBLANK(VLOOKUP(CONCATENATE($F57,"_",AQ$4),Corporativa_2,MATCH(AQ$3,Corporativa!$F$27:$O$27,0),0)),"",VLOOKUP(CONCATENATE($F57,"_",AQ$4),Corporativa_2,MATCH(AQ$3,Corporativa!$F$27:$O$27,0),0)),"")</f>
        <v>Ninguno</v>
      </c>
      <c r="AR57" t="str">
        <f>+IFERROR(IF(ISBLANK(VLOOKUP(CONCATENATE($F57,"_",AR$4),Corporativa_2,MATCH(AR$3,Corporativa!$F$27:$O$27,0),0)),"",VLOOKUP(CONCATENATE($F57,"_",AR$4),Corporativa_2,MATCH(AR$3,Corporativa!$F$27:$O$27,0),0)),"")</f>
        <v>Garantizar la actualización legal de los estándares mínimos y generar lineamientos para el desarrollo de la actualización del sistema de gestión de SST.</v>
      </c>
      <c r="AS57">
        <f>+IFERROR(IF(ISBLANK(VLOOKUP(CONCATENATE($F57,"_",AS$4),Corporativa_2,MATCH(AS$3,Corporativa!$F$27:$O$27,0),0)),"",VLOOKUP(CONCATENATE($F57,"_",AS$4),Corporativa_2,MATCH(AS$3,Corporativa!$F$27:$O$27,0),0)),"")</f>
        <v>1</v>
      </c>
      <c r="AT57">
        <f>+IFERROR(IF(ISBLANK(VLOOKUP(CONCATENATE($F57,"_",AT$4),Corporativa_2,MATCH(AT$3,Corporativa!$F$27:$O$27,0),0)),"",VLOOKUP(CONCATENATE($F57,"_",AT$4),Corporativa_2,MATCH(AT$3,Corporativa!$F$27:$O$27,0),0)),"")</f>
        <v>1</v>
      </c>
      <c r="AU57" t="str">
        <f>+IFERROR(IF(ISBLANK(VLOOKUP(CONCATENATE($F57,"_",AU$4),Corporativa_2,MATCH(AU$3,Corporativa!$F$27:$O$27,0),0)),"",VLOOKUP(CONCATENATE($F57,"_",AU$4),Corporativa_2,MATCH(AU$3,Corporativa!$F$27:$O$27,0),0)),"")</f>
        <v>Se realiza el cierre de:
1. Realizar el informe de Perfil sociodemográfico.</v>
      </c>
      <c r="AV57" t="str">
        <f>+IFERROR(IF(ISBLANK(VLOOKUP(CONCATENATE($F57,"_",AV$4),Corporativa_2,MATCH(AV$3,Corporativa!$F$27:$O$27,0),0)),"",VLOOKUP(CONCATENATE($F57,"_",AV$4),Corporativa_2,MATCH(AV$3,Corporativa!$F$27:$O$27,0),0)),"")</f>
        <v>Ninguno</v>
      </c>
      <c r="AW57" t="str">
        <f>+IFERROR(IF(ISBLANK(VLOOKUP(CONCATENATE($F57,"_",AW$4),Corporativa_2,MATCH(AW$3,Corporativa!$F$27:$O$27,0),0)),"",VLOOKUP(CONCATENATE($F57,"_",AW$4),Corporativa_2,MATCH(AW$3,Corporativa!$F$27:$O$27,0),0)),"")</f>
        <v>Determinar las características mas comunes que conforman la población de la entidad, para orientar los programas de SST y toma de decisiones relacionadas con la emergencia sanitaria.</v>
      </c>
      <c r="AX57">
        <f>+IFERROR(IF(ISBLANK(VLOOKUP(CONCATENATE($F57,"_",AX$4),Corporativa_2,MATCH(AX$3,Corporativa!$F$27:$O$27,0),0)),"",VLOOKUP(CONCATENATE($F57,"_",AX$4),Corporativa_2,MATCH(AX$3,Corporativa!$F$27:$O$27,0),0)),"")</f>
        <v>1</v>
      </c>
      <c r="AY57">
        <f>+IFERROR(IF(ISBLANK(VLOOKUP(CONCATENATE($F57,"_",AY$4),Corporativa_2,MATCH(AY$3,Corporativa!$F$27:$O$27,0),0)),"",VLOOKUP(CONCATENATE($F57,"_",AY$4),Corporativa_2,MATCH(AY$3,Corporativa!$F$27:$O$27,0),0)),"")</f>
        <v>0</v>
      </c>
      <c r="AZ57" t="str">
        <f>+IFERROR(IF(ISBLANK(VLOOKUP(CONCATENATE($F57,"_",AZ$4),Corporativa_2,MATCH(AZ$3,Corporativa!$F$27:$O$27,0),0)),"",VLOOKUP(CONCATENATE($F57,"_",AZ$4),Corporativa_2,MATCH(AZ$3,Corporativa!$F$27:$O$27,0),0)),"")</f>
        <v xml:space="preserve"> Para el mes de junio, desde el procos de Gestión de Seguridad y Salud en el Trabajo se desarrollaron las siguientes actividades:
1. 	Se realizo 18 afiliaciones a la ARL para los contratistas. _x000D_
2. 	Desarrollo de reuniones mensuales de COPASST – 4 de junio de 2020_x000D_
3. 	Se realiza 1 Investigaciones de accidente de trabajo, con la participación del COPASST. _x000D_
4. 	Socialización Primeros Auxilios en presencialidad y en Casa. _x000D_
5. 	Se realizaron 21 exámenes médico ocupacionales de ingreso, periódico, retiro. _x000D_
6. 	Informe de Ausentismo_x000D_
7. 	Programa de Modos, condiciones y estilos de vida y trabajo Saludable - Se realizo divulgación de pieza comunicacional de Cuerpo sano. Metodologías de autocuidado y nutrición. _x000D_
8. 	Desarrollo de pausas activas virtuales y cognitivas, sensibilización de higiene postural e inspección de puesto de trabajo _x000D_
9. 	Diseño de campaña para salud mental relacionado con noticias falsas y tele orientación psicológica. _x000D_
10. 	Se generaron 3 accidentes laborales. _x000D_
11. 	Se realizo 1 Investigación de accidente de trabajo. _x000D_
12. 	Se tiene una participación de 27 sedes con un 44% de cubrimiento para el programa de orden y aseo. _x000D_
13. 	Piezas comunicacionales del Programa de riesgo público. _x000D_
14. 	Socialización de Protocolo de Bioseguridad con Recade, entidades y revisión de espacios de aislamiento. _x000D_
15. 	Piezas comunicacionales del Programa de Prevención de Caídas a Nivel. _x000D_
16. 	Programa de Protección Contra Caídas (Trabajo en Alturas). – Diligenciamiento de Formatos y procedimiento para trabajo seguro en alturas. _x000D_
17. 	Actualización de Matriz de Madurez del Sistema de Gestión de Seguridad y Salud en el Trabajo. _x000D_
18. 	Se realiza reunión el 5 junio con el Equipo de Trabajo del Proceso de Gestión de la Seguridad y Salud en el Trabajo. _x000D_
19. 	Se adopta el Procedimiento de Gestión del Cambio para las acciones en Seguridad y Salud en el Trabajo. _x000D_
</v>
      </c>
      <c r="BA57" t="str">
        <f>+IFERROR(IF(ISBLANK(VLOOKUP(CONCATENATE($F57,"_",BA$4),Corporativa_2,MATCH(BA$3,Corporativa!$F$27:$O$27,0),0)),"",VLOOKUP(CONCATENATE($F57,"_",BA$4),Corporativa_2,MATCH(BA$3,Corporativa!$F$27:$O$27,0),0)),"")</f>
        <v>Se reprograma mesa laboral para revisión de casos debido a solicitud de los profesionales médicos de la ARL, por atención en periodo de pandemia por el virus Sars CoV2 – COVID19.</v>
      </c>
      <c r="BB57" t="str">
        <f>+IFERROR(IF(ISBLANK(VLOOKUP(CONCATENATE($F57,"_",BB$4),Corporativa_2,MATCH(BB$3,Corporativa!$F$27:$O$27,0),0)),"",VLOOKUP(CONCATENATE($F57,"_",BB$4),Corporativa_2,MATCH(BB$3,Corporativa!$F$27:$O$27,0),0)),"")</f>
        <v>Los beneficios identificados son:_x000D_
1. 	Garantizar el cubrimiento por la ARL para los contratistas de la entidad._x000D_
2. 	Garantizar el cumplimiento de la legislación legal vigente._x000D_
3. 	Identificar las causas de la accidentalidad de la entidad para generar metodologías de minimización de los accidentes laborales._x000D_
4. 	Capacitar a los Brigadistas de Entidad ante situaciones de emergencia referentes al contagio por Sars CoV2 – COVID19._x000D_
5. 	Apoyo Psicosocial, referente a situaciones de contagio por Sars CoV2 – COVID19._x000D_
6. 	Medición del ausentismo por incapacidad para desarrollar actividades de prevención y promoción de la salud._x000D_
7. 	Desarrollo de actividades que ayuden a disminuir el riesgo osteomuscular._x000D_
8. 	Capacitar a colaboradores en el programa de prevención contra caídas._x000D_
9. 	Garantizar un procedimiento de gestión de cambio._x000D_
10. 	Realizar seguimiento a las condiciones de salud de los Servidores(as) públicos(as) de la entidad._x000D_
11. 	Seguimiento a la Madurez del Sistema de Gestión de Seguridad y Salud en el Trabajo en la entidad_x000D_
12. 	Seguimiento de las actividades del SG-SST con el Equipo de Trabajo del Proceso._x000D_</v>
      </c>
      <c r="BC57">
        <f t="shared" si="10"/>
        <v>4</v>
      </c>
      <c r="BD57">
        <f t="shared" si="10"/>
        <v>4</v>
      </c>
      <c r="BE57" s="129" t="str">
        <f>+IFERROR(IF(ISBLANK(VLOOKUP(CONCATENATE($F57,"_",BE$4),P1156_4,MATCH(BE$3,PAAC!$E$19:$M$19,0),0)),"",VLOOKUP(CONCATENATE($F57,"_",BE$4),P1156_4,MATCH(BE$3,PAAC!$E$19:$M$19,0),0)),"")</f>
        <v/>
      </c>
      <c r="BF57" s="129" t="str">
        <f>+IFERROR(IF(ISBLANK(VLOOKUP(CONCATENATE($F57,"_",BF$4),P1156_4,MATCH(BF$3,PAAC!$E$19:$M$19,0),0)),"",VLOOKUP(CONCATENATE($F57,"_",BF$4),P1156_4,MATCH(BF$3,PAAC!$E$19:$M$19,0),0)),"")</f>
        <v/>
      </c>
      <c r="BG57" s="129" t="str">
        <f>+IFERROR(IF(ISBLANK(VLOOKUP(CONCATENATE($F57,"_",BG$4),P1156_4,MATCH(BG$3,PAAC!$E$19:$M$19,0),0)),"",VLOOKUP(CONCATENATE($F57,"_",BG$4),P1156_4,MATCH(BG$3,PAAC!$E$19:$M$19,0),0)),"")</f>
        <v/>
      </c>
      <c r="BH57" s="129" t="str">
        <f>+IFERROR(IF(ISBLANK(VLOOKUP(CONCATENATE($F57,"_",BH$4),P1156_4,MATCH(BH$3,PAAC!$E$19:$M$19,0),0)),"",VLOOKUP(CONCATENATE($F57,"_",BH$4),P1156_4,MATCH(BH$3,PAAC!$E$19:$M$19,0),0)),"")</f>
        <v/>
      </c>
      <c r="BI57" s="129" t="str">
        <f>+IFERROR(IF(ISBLANK(VLOOKUP(CONCATENATE($F57,"_",BI$4),P1156_4,MATCH(BI$3,PAAC!$E$19:$M$19,0),0)),"",VLOOKUP(CONCATENATE($F57,"_",BI$4),P1156_4,MATCH(BI$3,PAAC!$E$19:$M$19,0),0)),"")</f>
        <v/>
      </c>
      <c r="BJ57" s="129" t="str">
        <f>+IFERROR(IF(ISBLANK(VLOOKUP(CONCATENATE($F57,"_",BJ$4),P1156_4,MATCH(BJ$3,PAAC!$E$19:$M$19,0),0)),"",VLOOKUP(CONCATENATE($F57,"_",BJ$4),P1156_4,MATCH(BJ$3,PAAC!$E$19:$M$19,0),0)),"")</f>
        <v/>
      </c>
      <c r="BK57" s="129" t="str">
        <f>+IFERROR(IF(ISBLANK(VLOOKUP(CONCATENATE($F57,"_",BK$4),P1156_4,MATCH(BK$3,PAAC!$E$19:$M$19,0),0)),"",VLOOKUP(CONCATENATE($F57,"_",BK$4),P1156_4,MATCH(BK$3,PAAC!$E$19:$M$19,0),0)),"")</f>
        <v/>
      </c>
      <c r="BL57" s="129" t="str">
        <f>+IFERROR(IF(ISBLANK(VLOOKUP(CONCATENATE($F57,"_",BL$4),P1156_4,MATCH(BL$3,PAAC!$E$19:$M$19,0),0)),"",VLOOKUP(CONCATENATE($F57,"_",BL$4),P1156_4,MATCH(BL$3,PAAC!$E$19:$M$19,0),0)),"")</f>
        <v/>
      </c>
      <c r="BM57" s="129" t="str">
        <f>+IFERROR(IF(ISBLANK(VLOOKUP(CONCATENATE($F57,"_",BM$4),P1156_4,MATCH(BM$3,PAAC!$E$19:$M$19,0),0)),"",VLOOKUP(CONCATENATE($F57,"_",BM$4),P1156_4,MATCH(BM$3,PAAC!$E$19:$M$19,0),0)),"")</f>
        <v/>
      </c>
      <c r="BN57" s="129" t="str">
        <f>+IFERROR(IF(ISBLANK(VLOOKUP(CONCATENATE($F57,"_",BN$4),P1156_4,MATCH(BN$3,PAAC!$E$19:$M$19,0),0)),"",VLOOKUP(CONCATENATE($F57,"_",BN$4),P1156_4,MATCH(BN$3,PAAC!$E$19:$M$19,0),0)),"")</f>
        <v/>
      </c>
      <c r="BO57" s="129" t="str">
        <f>+IFERROR(IF(ISBLANK(VLOOKUP(CONCATENATE($F57,"_",BO$4),P1156_4,MATCH(BO$3,PAAC!$E$19:$M$19,0),0)),"",VLOOKUP(CONCATENATE($F57,"_",BO$4),P1156_4,MATCH(BO$3,PAAC!$E$19:$M$19,0),0)),"")</f>
        <v/>
      </c>
      <c r="BP57" s="129" t="str">
        <f>+IFERROR(IF(ISBLANK(VLOOKUP(CONCATENATE($F57,"_",BP$4),P1156_4,MATCH(BP$3,PAAC!$E$19:$M$19,0),0)),"",VLOOKUP(CONCATENATE($F57,"_",BP$4),P1156_4,MATCH(BP$3,PAAC!$E$19:$M$19,0),0)),"")</f>
        <v/>
      </c>
      <c r="BQ57" s="129" t="str">
        <f>+IFERROR(IF(ISBLANK(VLOOKUP(CONCATENATE($F57,"_",BQ$4),P1156_4,MATCH(BQ$3,PAAC!$E$19:$M$19,0),0)),"",VLOOKUP(CONCATENATE($F57,"_",BQ$4),P1156_4,MATCH(BQ$3,PAAC!$E$19:$M$19,0),0)),"")</f>
        <v/>
      </c>
      <c r="BR57" s="129" t="str">
        <f>+IFERROR(IF(ISBLANK(VLOOKUP(CONCATENATE($F57,"_",BR$4),P1156_4,MATCH(BR$3,PAAC!$E$19:$M$19,0),0)),"",VLOOKUP(CONCATENATE($F57,"_",BR$4),P1156_4,MATCH(BR$3,PAAC!$E$19:$M$19,0),0)),"")</f>
        <v/>
      </c>
      <c r="BS57" s="129" t="str">
        <f>+IFERROR(IF(ISBLANK(VLOOKUP(CONCATENATE($F57,"_",BS$4),P1156_4,MATCH(BS$3,PAAC!$E$19:$M$19,0),0)),"",VLOOKUP(CONCATENATE($F57,"_",BS$4),P1156_4,MATCH(BS$3,PAAC!$E$19:$M$19,0),0)),"")</f>
        <v/>
      </c>
      <c r="BT57" s="129" t="str">
        <f>+IFERROR(IF(ISBLANK(VLOOKUP(CONCATENATE($F57,"_",BT$4),P1156_4,MATCH(BT$3,PAAC!$E$19:$M$19,0),0)),"",VLOOKUP(CONCATENATE($F57,"_",BT$4),P1156_4,MATCH(BT$3,PAAC!$E$19:$M$19,0),0)),"")</f>
        <v/>
      </c>
      <c r="BU57" s="129" t="str">
        <f>+IFERROR(IF(ISBLANK(VLOOKUP(CONCATENATE($F57,"_",BU$4),P1156_4,MATCH(BU$3,PAAC!$E$19:$M$19,0),0)),"",VLOOKUP(CONCATENATE($F57,"_",BU$4),P1156_4,MATCH(BU$3,PAAC!$E$19:$M$19,0),0)),"")</f>
        <v/>
      </c>
      <c r="BV57" s="129" t="str">
        <f>+IFERROR(IF(ISBLANK(VLOOKUP(CONCATENATE($F57,"_",BV$4),P1156_4,MATCH(BV$3,PAAC!$E$19:$M$19,0),0)),"",VLOOKUP(CONCATENATE($F57,"_",BV$4),P1156_4,MATCH(BV$3,PAAC!$E$19:$M$19,0),0)),"")</f>
        <v/>
      </c>
      <c r="BW57" s="129" t="str">
        <f>+IFERROR(IF(ISBLANK(VLOOKUP(CONCATENATE($F57,"_",BW$4),P1156_4,MATCH(BW$3,PAAC!$E$19:$M$19,0),0)),"",VLOOKUP(CONCATENATE($F57,"_",BW$4),P1156_4,MATCH(BW$3,PAAC!$E$19:$M$19,0),0)),"")</f>
        <v/>
      </c>
      <c r="BX57" s="129" t="str">
        <f>+IFERROR(IF(ISBLANK(VLOOKUP(CONCATENATE($F57,"_",BX$4),P1156_4,MATCH(BX$3,PAAC!$E$19:$M$19,0),0)),"",VLOOKUP(CONCATENATE($F57,"_",BX$4),P1156_4,MATCH(BX$3,PAAC!$E$19:$M$19,0),0)),"")</f>
        <v/>
      </c>
      <c r="BY57" s="129" t="str">
        <f>+IFERROR(IF(ISBLANK(VLOOKUP(CONCATENATE($F57,"_",BY$4),P1156_4,MATCH(BY$3,PAAC!$E$19:$M$19,0),0)),"",VLOOKUP(CONCATENATE($F57,"_",BY$4),P1156_4,MATCH(BY$3,PAAC!$E$19:$M$19,0),0)),"")</f>
        <v/>
      </c>
      <c r="BZ57" s="129" t="str">
        <f>+IFERROR(IF(ISBLANK(VLOOKUP(CONCATENATE($F57,"_",BZ$4),P1156_4,MATCH(BZ$3,PAAC!$E$19:$M$19,0),0)),"",VLOOKUP(CONCATENATE($F57,"_",BZ$4),P1156_4,MATCH(BZ$3,PAAC!$E$19:$M$19,0),0)),"")</f>
        <v/>
      </c>
      <c r="CA57" s="129" t="str">
        <f>+IFERROR(IF(ISBLANK(VLOOKUP(CONCATENATE($F57,"_",CA$4),P1156_4,MATCH(CA$3,PAAC!$E$19:$M$19,0),0)),"",VLOOKUP(CONCATENATE($F57,"_",CA$4),P1156_4,MATCH(CA$3,PAAC!$E$19:$M$19,0),0)),"")</f>
        <v/>
      </c>
      <c r="CB57" s="129" t="str">
        <f>+IFERROR(IF(ISBLANK(VLOOKUP(CONCATENATE($F57,"_",CB$4),P1156_4,MATCH(CB$3,PAAC!$E$19:$M$19,0),0)),"",VLOOKUP(CONCATENATE($F57,"_",CB$4),P1156_4,MATCH(CB$3,PAAC!$E$19:$M$19,0),0)),"")</f>
        <v/>
      </c>
      <c r="CC57" s="129" t="str">
        <f>+IFERROR(IF(ISBLANK(VLOOKUP(CONCATENATE($F57,"_",CC$4),P1156_4,MATCH(CC$3,PAAC!$E$19:$M$19,0),0)),"",VLOOKUP(CONCATENATE($F57,"_",CC$4),P1156_4,MATCH(CC$3,PAAC!$E$19:$M$19,0),0)),"")</f>
        <v/>
      </c>
      <c r="CD57" s="129" t="str">
        <f t="shared" si="11"/>
        <v/>
      </c>
      <c r="CE57" s="129" t="str">
        <f t="shared" si="3"/>
        <v/>
      </c>
      <c r="CF57" s="129" t="str">
        <f t="shared" si="4"/>
        <v/>
      </c>
      <c r="CG57" s="129" t="str">
        <f t="shared" si="5"/>
        <v/>
      </c>
      <c r="CH57" s="129" t="str">
        <f t="shared" si="6"/>
        <v/>
      </c>
      <c r="CI57" t="str">
        <f t="shared" si="45"/>
        <v>Cumple</v>
      </c>
      <c r="CJ57" t="str">
        <f t="shared" si="45"/>
        <v>Aceptable</v>
      </c>
      <c r="CK57" t="str">
        <f t="shared" si="45"/>
        <v>No adecuado</v>
      </c>
      <c r="CL57" t="str">
        <f t="shared" si="45"/>
        <v>Coherente</v>
      </c>
      <c r="CM57" t="str">
        <f t="shared" si="45"/>
        <v>Concuerda</v>
      </c>
      <c r="CN57" t="str">
        <f t="shared" si="45"/>
        <v>Concuerda</v>
      </c>
      <c r="CO57" t="str">
        <f t="shared" si="45"/>
        <v>Relación directa</v>
      </c>
      <c r="CP57" t="str">
        <f t="shared" si="45"/>
        <v>Adecuado</v>
      </c>
      <c r="CQ57" t="str">
        <f t="shared" si="45"/>
        <v>Oportuna</v>
      </c>
      <c r="CR57" t="str">
        <f t="shared" si="45"/>
        <v>1. Se evidencia un avance cuantitativo del Indicador del 75% con corte a 31 de mayo de 2020, teniendo en cuenta que la actividad programada para el mes de febrero no se realizó. Se desarrolla el informe de gestión de la vigencia 2019, pero se tiene pendiente el proceso de divulgación con la alta dirección según modificaciones solicitadas por la Dirección de Talento Humano.</v>
      </c>
      <c r="CS57" t="str">
        <f t="shared" si="46"/>
        <v>Bibiana Rodríguez González</v>
      </c>
      <c r="CT57" t="str">
        <f t="shared" si="46"/>
        <v>Cumple</v>
      </c>
      <c r="CU57" t="str">
        <f t="shared" si="46"/>
        <v>Cumplido</v>
      </c>
      <c r="CV57" t="str">
        <f t="shared" si="46"/>
        <v>Adecuado</v>
      </c>
      <c r="CW57" t="str">
        <f t="shared" si="46"/>
        <v>Coherente</v>
      </c>
      <c r="CX57" t="str">
        <f t="shared" si="46"/>
        <v>Concuerda</v>
      </c>
      <c r="CY57" t="str">
        <f t="shared" si="46"/>
        <v>No aplica</v>
      </c>
      <c r="CZ57" t="str">
        <f t="shared" si="46"/>
        <v>Relación directa</v>
      </c>
      <c r="DA57" t="str">
        <f t="shared" si="46"/>
        <v>Adecuado</v>
      </c>
      <c r="DB57" t="str">
        <f t="shared" si="46"/>
        <v>Oportuna</v>
      </c>
      <c r="DC57" t="str">
        <f t="shared" si="47"/>
        <v>No aplica</v>
      </c>
      <c r="DD57" t="str">
        <f t="shared" si="47"/>
        <v>Bibiana Rodríguez González</v>
      </c>
      <c r="DE57" t="e">
        <f t="shared" si="47"/>
        <v>#REF!</v>
      </c>
      <c r="DF57" t="e">
        <f t="shared" si="47"/>
        <v>#REF!</v>
      </c>
      <c r="DG57" t="e">
        <f t="shared" si="47"/>
        <v>#REF!</v>
      </c>
      <c r="DH57" t="e">
        <f t="shared" si="47"/>
        <v>#REF!</v>
      </c>
      <c r="DI57" t="e">
        <f t="shared" si="47"/>
        <v>#REF!</v>
      </c>
      <c r="DJ57" t="e">
        <f t="shared" si="47"/>
        <v>#REF!</v>
      </c>
      <c r="DK57" t="e">
        <f t="shared" si="47"/>
        <v>#REF!</v>
      </c>
      <c r="DL57" t="e">
        <f t="shared" si="47"/>
        <v>#REF!</v>
      </c>
      <c r="DM57" t="e">
        <f t="shared" si="48"/>
        <v>#REF!</v>
      </c>
      <c r="DN57" t="e">
        <f t="shared" si="48"/>
        <v>#REF!</v>
      </c>
      <c r="DO57" t="e">
        <f t="shared" si="48"/>
        <v>#REF!</v>
      </c>
      <c r="DP57" t="e">
        <f t="shared" si="48"/>
        <v>#REF!</v>
      </c>
      <c r="DQ57" t="e">
        <f t="shared" si="48"/>
        <v>#REF!</v>
      </c>
      <c r="DR57" t="e">
        <f t="shared" si="48"/>
        <v>#REF!</v>
      </c>
      <c r="DS57" t="e">
        <f t="shared" si="48"/>
        <v>#REF!</v>
      </c>
      <c r="DT57" t="e">
        <f t="shared" si="48"/>
        <v>#REF!</v>
      </c>
      <c r="DU57" t="e">
        <f t="shared" si="48"/>
        <v>#REF!</v>
      </c>
      <c r="DV57" t="e">
        <f t="shared" si="48"/>
        <v>#REF!</v>
      </c>
      <c r="DW57" t="e">
        <f t="shared" si="48"/>
        <v>#REF!</v>
      </c>
      <c r="DX57" t="e">
        <f t="shared" si="48"/>
        <v>#REF!</v>
      </c>
    </row>
    <row r="58" spans="1:128" x14ac:dyDescent="0.3">
      <c r="A58" s="423" t="str">
        <f t="shared" si="16"/>
        <v>108C</v>
      </c>
      <c r="B58" t="str">
        <f t="shared" si="17"/>
        <v>2_Dirección de Talento Humano</v>
      </c>
      <c r="C58">
        <f t="shared" si="8"/>
        <v>2</v>
      </c>
      <c r="D58" t="str">
        <f t="shared" si="0"/>
        <v>Dirección de Talento Humano</v>
      </c>
      <c r="E58" t="str">
        <f t="shared" si="1"/>
        <v>dth</v>
      </c>
      <c r="F58" s="207" t="str">
        <f>Corporativa!D12</f>
        <v>108C</v>
      </c>
      <c r="G58" t="str">
        <f t="shared" si="30"/>
        <v>Constante</v>
      </c>
      <c r="H58" t="str">
        <f t="shared" si="30"/>
        <v>Porcentaje</v>
      </c>
      <c r="I58" t="str">
        <f t="shared" si="30"/>
        <v>No Disponible / No Aplica</v>
      </c>
      <c r="J58">
        <f t="shared" si="30"/>
        <v>1</v>
      </c>
      <c r="K58" t="str">
        <f>+IFERROR(VLOOKUP($F58,Corporativa_1,MATCH(K$5,Corporativa!$D$9:$V$9,0),0),"")</f>
        <v>Suma</v>
      </c>
      <c r="L58">
        <f>+IFERROR(VLOOKUP($F58,Corporativa_1,MATCH(L$5,Corporativa!$D$9:$V$9,0),0),"")</f>
        <v>24</v>
      </c>
      <c r="M58">
        <f t="shared" si="40"/>
        <v>5</v>
      </c>
      <c r="N58">
        <f>+IFERROR(VLOOKUP($F58,Corporativa_1,MATCH(N$5,Corporativa!$D$9:$V$9,0),0),"")</f>
        <v>0</v>
      </c>
      <c r="O58">
        <f>+IFERROR(VLOOKUP($F58,Corporativa_1,MATCH(O$5,Corporativa!$D$9:$V$9,0),0),"")</f>
        <v>3</v>
      </c>
      <c r="P58">
        <f>+IFERROR(VLOOKUP($F58,Corporativa_1,MATCH(P$5,Corporativa!$D$9:$V$9,0),0),"")</f>
        <v>2</v>
      </c>
      <c r="Q58">
        <f>+IFERROR(VLOOKUP($F58,Corporativa_1,MATCH(Q$5,Corporativa!$D$9:$V$9,0),0),"")</f>
        <v>4</v>
      </c>
      <c r="R58">
        <f>+IFERROR(VLOOKUP($F58,Corporativa_1,MATCH(R$5,Corporativa!$D$9:$V$9,0),0),"")</f>
        <v>7</v>
      </c>
      <c r="S58">
        <f>+IFERROR(VLOOKUP($F58,Corporativa_1,MATCH(S$5,Corporativa!$D$9:$V$9,0),0),"")</f>
        <v>8</v>
      </c>
      <c r="T58">
        <f>+IFERROR(VLOOKUP($F58,Corporativa_1,MATCH(T$5,Corporativa!$D$9:$V$9,0),0),"")</f>
        <v>100</v>
      </c>
      <c r="U58" t="str">
        <f>+IFERROR(VLOOKUP($F58,Corporativa_1,MATCH(U$5,Corporativa!$D$9:$V$9,0),0),"")</f>
        <v>Porcentaje de cumplimiento del Plan Estrategico de la Dirección de Talento Humano.</v>
      </c>
      <c r="V58" t="str">
        <f>+IFERROR(VLOOKUP($F58,Corporativa_1,MATCH(V$5,Corporativa!$D$9:$V$9,0),0),"")</f>
        <v xml:space="preserve">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cultura y educación. </v>
      </c>
      <c r="W58" t="str">
        <f>+IFERROR(VLOOKUP($F58,Corporativa_1,MATCH(W$5,Corporativa!$D$9:$V$9,0),0),"")</f>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
      <c r="X58" t="str">
        <f>+IFERROR(VLOOKUP($F58,Corporativa_1,MATCH(X$5,Corporativa!$D$9:$V$9,0),0),"")</f>
        <v>Listados de Asistencia
Registro fotografico
Informes trimestrales y el reporte de la información de los asistentes a las diferentes actividades.</v>
      </c>
      <c r="Y58">
        <f>+IFERROR(IF(ISBLANK(VLOOKUP(CONCATENATE($F58,"_",Y$4),Corporativa_2,MATCH(Y$3,Corporativa!$F$27:$O$27,0),0)),"",VLOOKUP(CONCATENATE($F58,"_",Y$4),Corporativa_2,MATCH(Y$3,Corporativa!$F$27:$O$27,0),0)),"")</f>
        <v>0</v>
      </c>
      <c r="Z58">
        <f>+IFERROR(IF(ISBLANK(VLOOKUP(CONCATENATE($F58,"_",Z$4),Corporativa_2,MATCH(Z$3,Corporativa!$F$27:$O$27,0),0)),"",VLOOKUP(CONCATENATE($F58,"_",Z$4),Corporativa_2,MATCH(Z$3,Corporativa!$F$27:$O$27,0),0)),"")</f>
        <v>0</v>
      </c>
      <c r="AA58" t="str">
        <f>+IFERROR(IF(ISBLANK(VLOOKUP(CONCATENATE($F58,"_",AA$4),Corporativa_2,MATCH(AA$3,Corporativa!$F$27:$O$27,0),0)),"",VLOOKUP(CONCATENATE($F58,"_",AA$4),Corporativa_2,MATCH(AA$3,Corporativa!$F$27:$O$27,0),0)),"")</f>
        <v>PIB:
No aplica para este mes
PIC:
No aplica para este mes
SST:
No aplica para este mes</v>
      </c>
      <c r="AB58" t="str">
        <f>+IFERROR(IF(ISBLANK(VLOOKUP(CONCATENATE($F58,"_",AB$4),Corporativa_2,MATCH(AB$3,Corporativa!$F$27:$O$27,0),0)),"",VLOOKUP(CONCATENATE($F58,"_",AB$4),Corporativa_2,MATCH(AB$3,Corporativa!$F$27:$O$27,0),0)),"")</f>
        <v>PIB:
No aplica para este mes
PIC:
No aplica para este mes
SST:
No aplica para este mes</v>
      </c>
      <c r="AC58" t="str">
        <f>+IFERROR(IF(ISBLANK(VLOOKUP(CONCATENATE($F58,"_",AC$4),Corporativa_2,MATCH(AC$3,Corporativa!$F$27:$O$27,0),0)),"",VLOOKUP(CONCATENATE($F58,"_",AC$4),Corporativa_2,MATCH(AC$3,Corporativa!$F$27:$O$27,0),0)),"")</f>
        <v>PIB:
No aplica para este mes
PIC:
No aplica para este mes
SST:
No aplica para este mes</v>
      </c>
      <c r="AD58">
        <f>+IFERROR(IF(ISBLANK(VLOOKUP(CONCATENATE($F58,"_",AD$4),Corporativa_2,MATCH(AD$3,Corporativa!$F$27:$O$27,0),0)),"",VLOOKUP(CONCATENATE($F58,"_",AD$4),Corporativa_2,MATCH(AD$3,Corporativa!$F$27:$O$27,0),0)),"")</f>
        <v>2</v>
      </c>
      <c r="AE58">
        <f>+IFERROR(IF(ISBLANK(VLOOKUP(CONCATENATE($F58,"_",AE$4),Corporativa_2,MATCH(AE$3,Corporativa!$F$27:$O$27,0),0)),"",VLOOKUP(CONCATENATE($F58,"_",AE$4),Corporativa_2,MATCH(AE$3,Corporativa!$F$27:$O$27,0),0)),"")</f>
        <v>3</v>
      </c>
      <c r="AF58" t="str">
        <f>+IFERROR(IF(ISBLANK(VLOOKUP(CONCATENATE($F58,"_",AF$4),Corporativa_2,MATCH(AF$3,Corporativa!$F$27:$O$27,0),0)),"",VLOOKUP(CONCATENATE($F58,"_",AF$4),Corporativa_2,MATCH(AF$3,Corporativa!$F$27:$O$27,0),0)),"")</f>
        <v>PIB:
1. Se realizó la jornada tributaria para servidores
PIC:
1. Induccion y Reinducción
SST:
Niguno</v>
      </c>
      <c r="AG58" t="str">
        <f>+IFERROR(IF(ISBLANK(VLOOKUP(CONCATENATE($F58,"_",AG$4),Corporativa_2,MATCH(AG$3,Corporativa!$F$27:$O$27,0),0)),"",VLOOKUP(CONCATENATE($F58,"_",AG$4),Corporativa_2,MATCH(AG$3,Corporativa!$F$27:$O$27,0),0)),"")</f>
        <v>PIB:
Ninguno
PIC:
Ninguno
SST:
Se desarrolla el informe de gestión de la vigencia 2019, se tiene pendiente el proceso de divulgación con la alta dirección según modificaciones solicitadas por la Dirección de Talento Humano.</v>
      </c>
      <c r="AH58" t="str">
        <f>+IFERROR(IF(ISBLANK(VLOOKUP(CONCATENATE($F58,"_",AH$4),Corporativa_2,MATCH(AH$3,Corporativa!$F$27:$O$27,0),0)),"",VLOOKUP(CONCATENATE($F58,"_",AH$4),Corporativa_2,MATCH(AH$3,Corporativa!$F$27:$O$27,0),0)),"")</f>
        <v>PIB:
Los servidores de la entidad, sin tener que realizar desplazamientos adicionales, pudieron acceder a la información tributaria personal. Generando apropiación por la ciudad.
PIC:
Facilitar y fortalecer la integración de los servidores a la cultura organizacional. 
SST:
Garantizar la divulgación del informe de rendición de cuentas de la vigencia 2019 para retroalimentación por la alta dirección y mejoramiento del Sistema de Gestión de la Seguridad y Salud en el Trabajo.</v>
      </c>
      <c r="AI58">
        <f>+IFERROR(IF(ISBLANK(VLOOKUP(CONCATENATE($F58,"_",AI$4),Corporativa_2,MATCH(AI$3,Corporativa!$F$27:$O$27,0),0)),"",VLOOKUP(CONCATENATE($F58,"_",AI$4),Corporativa_2,MATCH(AI$3,Corporativa!$F$27:$O$27,0),0)),"")</f>
        <v>2</v>
      </c>
      <c r="AJ58">
        <f>+IFERROR(IF(ISBLANK(VLOOKUP(CONCATENATE($F58,"_",AJ$4),Corporativa_2,MATCH(AJ$3,Corporativa!$F$27:$O$27,0),0)),"",VLOOKUP(CONCATENATE($F58,"_",AJ$4),Corporativa_2,MATCH(AJ$3,Corporativa!$F$27:$O$27,0),0)),"")</f>
        <v>2</v>
      </c>
      <c r="AK58" t="str">
        <f>+IFERROR(IF(ISBLANK(VLOOKUP(CONCATENATE($F58,"_",AK$4),Corporativa_2,MATCH(AK$3,Corporativa!$F$27:$O$27,0),0)),"",VLOOKUP(CONCATENATE($F58,"_",AK$4),Corporativa_2,MATCH(AK$3,Corporativa!$F$27:$O$27,0),0)),"")</f>
        <v>PIB:
Se realizó la actividad Cuerpo Sano
PIC:
No aplica para este mes
SST:
Capacitación: Cuerpo Sano.</v>
      </c>
      <c r="AL58" t="str">
        <f>+IFERROR(IF(ISBLANK(VLOOKUP(CONCATENATE($F58,"_",AL$4),Corporativa_2,MATCH(AL$3,Corporativa!$F$27:$O$27,0),0)),"",VLOOKUP(CONCATENATE($F58,"_",AL$4),Corporativa_2,MATCH(AL$3,Corporativa!$F$27:$O$27,0),0)),"")</f>
        <v>PIB:
Ninguno
PIC:
No aplica para este mes
SST:
Ninguno</v>
      </c>
      <c r="AM58" t="str">
        <f>+IFERROR(IF(ISBLANK(VLOOKUP(CONCATENATE($F58,"_",AM$4),Corporativa_2,MATCH(AM$3,Corporativa!$F$27:$O$27,0),0)),"",VLOOKUP(CONCATENATE($F58,"_",AM$4),Corporativa_2,MATCH(AM$3,Corporativa!$F$27:$O$27,0),0)),"")</f>
        <v>PIB:
La actividad se realizó a través de los medios virtuales de comunicación de la entidad, enfocando el mensaje de la necesidad del cuerpo sano, dentro de la cuarentena a causa del Covid 2019.
PIC:
No aplica para este mes
SST:
Establecer una cultura de autocuidado, y de las medidas de prevención para la mitigación de contagio por Sars CoV 2 / COVID 19.</v>
      </c>
      <c r="AN58">
        <f>+IFERROR(IF(ISBLANK(VLOOKUP(CONCATENATE($F58,"_",AN$4),Corporativa_2,MATCH(AN$3,Corporativa!$F$27:$O$27,0),0)),"",VLOOKUP(CONCATENATE($F58,"_",AN$4),Corporativa_2,MATCH(AN$3,Corporativa!$F$27:$O$27,0),0)),"")</f>
        <v>4</v>
      </c>
      <c r="AO58">
        <f>+IFERROR(IF(ISBLANK(VLOOKUP(CONCATENATE($F58,"_",AO$4),Corporativa_2,MATCH(AO$3,Corporativa!$F$27:$O$27,0),0)),"",VLOOKUP(CONCATENATE($F58,"_",AO$4),Corporativa_2,MATCH(AO$3,Corporativa!$F$27:$O$27,0),0)),"")</f>
        <v>4</v>
      </c>
      <c r="AP58" t="str">
        <f>+IFERROR(IF(ISBLANK(VLOOKUP(CONCATENATE($F58,"_",AP$4),Corporativa_2,MATCH(AP$3,Corporativa!$F$27:$O$27,0),0)),"",VLOOKUP(CONCATENATE($F58,"_",AP$4),Corporativa_2,MATCH(AP$3,Corporativa!$F$27:$O$27,0),0)),"")</f>
        <v>PIB:
No aplica para este mes
PIC:
1. Didacticas para una Ciudadania Inconforme
2. Gestion de Riesgos
3. SECOP  II
SST:
Capacitación Equipo SST en la Resolución 0312 de 2019.</v>
      </c>
      <c r="AQ58" t="str">
        <f>+IFERROR(IF(ISBLANK(VLOOKUP(CONCATENATE($F58,"_",AQ$4),Corporativa_2,MATCH(AQ$3,Corporativa!$F$27:$O$27,0),0)),"",VLOOKUP(CONCATENATE($F58,"_",AQ$4),Corporativa_2,MATCH(AQ$3,Corporativa!$F$27:$O$27,0),0)),"")</f>
        <v>PIB:
No aplica para este mes
PIC:
La capacitacion de Sistema integrado de conservación se reprogramo para Junio 2020, debido al cronograma realizado por la Subd técnica archivo de Bogotá con ocasion a la pandemia. Sin embargo, se realizó capacitación SECOP II en abril debido a la disponibilidad de tiempo de los servidores y capacitadores, cabe aclarar que está capacitación estaba programada para el mes de mayo.
SST:
Ninguno</v>
      </c>
      <c r="AR58" t="str">
        <f>+IFERROR(IF(ISBLANK(VLOOKUP(CONCATENATE($F58,"_",AR$4),Corporativa_2,MATCH(AR$3,Corporativa!$F$27:$O$27,0),0)),"",VLOOKUP(CONCATENATE($F58,"_",AR$4),Corporativa_2,MATCH(AR$3,Corporativa!$F$27:$O$27,0),0)),"")</f>
        <v>PIB:
No aplica para este mes
PIC:
Fortalecer la gestión personal, desarrollando habilidades en la relación con la inteligencia social y promover cambios organizacionales en el actuar de los servidores públicos.
Brindar herramientas y técnicas que permitan implementar y gestionar los riesgos de la entidad, en el marco de los estándares y las mejores prácticas.
Desarrollar habilidades y destrezas para el manejo del SECOP II
SST:
Garantizar la actualización legal de los estándares mínimos y generar lineamientos para el desarrollo de la actualización del sistema de gestión de SST.</v>
      </c>
      <c r="AS58">
        <f>+IFERROR(IF(ISBLANK(VLOOKUP(CONCATENATE($F58,"_",AS$4),Corporativa_2,MATCH(AS$3,Corporativa!$F$27:$O$27,0),0)),"",VLOOKUP(CONCATENATE($F58,"_",AS$4),Corporativa_2,MATCH(AS$3,Corporativa!$F$27:$O$27,0),0)),"")</f>
        <v>2</v>
      </c>
      <c r="AT58">
        <f>+IFERROR(IF(ISBLANK(VLOOKUP(CONCATENATE($F58,"_",AT$4),Corporativa_2,MATCH(AT$3,Corporativa!$F$27:$O$27,0),0)),"",VLOOKUP(CONCATENATE($F58,"_",AT$4),Corporativa_2,MATCH(AT$3,Corporativa!$F$27:$O$27,0),0)),"")</f>
        <v>7</v>
      </c>
      <c r="AU58" t="str">
        <f>+IFERROR(IF(ISBLANK(VLOOKUP(CONCATENATE($F58,"_",AU$4),Corporativa_2,MATCH(AU$3,Corporativa!$F$27:$O$27,0),0)),"",VLOOKUP(CONCATENATE($F58,"_",AU$4),Corporativa_2,MATCH(AU$3,Corporativa!$F$27:$O$27,0),0)),"")</f>
        <v>PIB:
No aplica para este mes
PIC:
1. Presupuesto público
SST:
Realizar el informe de Perfil sociodemográfico.</v>
      </c>
      <c r="AV58" t="str">
        <f>+IFERROR(IF(ISBLANK(VLOOKUP(CONCATENATE($F58,"_",AV$4),Corporativa_2,MATCH(AV$3,Corporativa!$F$27:$O$27,0),0)),"",VLOOKUP(CONCATENATE($F58,"_",AV$4),Corporativa_2,MATCH(AV$3,Corporativa!$F$27:$O$27,0),0)),"")</f>
        <v>PIB:
No aplica para este mes
PIC:
1. Plan de Salvamento para el Acervo documental del Archivo de Bogotá, se reprogramo para Junio 2020, debido al cronograma realizado por la Subdirección técnica archivo de Bogotá con ocasión a la pandemia.
2. Competencias ciudadanas en seguridad vial, se reprogramo para Julio, debido a disponibilidad de los servidores.
3. Innovación pública, se reprogramo para junio, debido a que el DASCD en el mes de mayo no tenía aun programación.
4. Talks2020, 38° Congreso Nacional de Derecho Laboral y Seguridad Social, fue Cancelado debido a la Pandemia, no se recibió notificación de reprogramación.
5. SECOP II se realizó en el mes de abril.
SST:
Ninguno</v>
      </c>
      <c r="AW58" t="str">
        <f>+IFERROR(IF(ISBLANK(VLOOKUP(CONCATENATE($F58,"_",AW$4),Corporativa_2,MATCH(AW$3,Corporativa!$F$27:$O$27,0),0)),"",VLOOKUP(CONCATENATE($F58,"_",AW$4),Corporativa_2,MATCH(AW$3,Corporativa!$F$27:$O$27,0),0)),"")</f>
        <v>PIB:
No aplica para este mes
PIC:
Fortalecer conocimientos y conceptos sobre Presupuesto Público que faciliten la toma de decisiones de todos los gobiernos territoriales, incluido el Distrito Capital de Bogotá. A través de esta herramienta se puede materializar y dar cumplimiento a los programas de gobierno, los planes de desarrollo y en fin poder impulsar y propiciar la satisfacción de necesidades básicas de la población y el desarrollo de los territorios.
SST:
Determinar las características mas comunes que conforman la población de la entidad, para orientar los programas de SST y toma de decisiones relacionadas con la emergencia sanitaria.</v>
      </c>
      <c r="AX58">
        <f>+IFERROR(IF(ISBLANK(VLOOKUP(CONCATENATE($F58,"_",AX$4),Corporativa_2,MATCH(AX$3,Corporativa!$F$27:$O$27,0),0)),"",VLOOKUP(CONCATENATE($F58,"_",AX$4),Corporativa_2,MATCH(AX$3,Corporativa!$F$27:$O$27,0),0)),"")</f>
        <v>14</v>
      </c>
      <c r="AY58">
        <f>+IFERROR(IF(ISBLANK(VLOOKUP(CONCATENATE($F58,"_",AY$4),Corporativa_2,MATCH(AY$3,Corporativa!$F$27:$O$27,0),0)),"",VLOOKUP(CONCATENATE($F58,"_",AY$4),Corporativa_2,MATCH(AY$3,Corporativa!$F$27:$O$27,0),0)),"")</f>
        <v>8</v>
      </c>
      <c r="AZ58" t="str">
        <f>+IFERROR(IF(ISBLANK(VLOOKUP(CONCATENATE($F58,"_",AZ$4),Corporativa_2,MATCH(AZ$3,Corporativa!$F$27:$O$27,0),0)),"",VLOOKUP(CONCATENATE($F58,"_",AZ$4),Corporativa_2,MATCH(AZ$3,Corporativa!$F$27:$O$27,0),0)),"")</f>
        <v xml:space="preserve">PIB:
No aplica para este mes.
PIC:
1. Lenguaeje Claro.
2. Participación Ciudadana. 
3. MIPG.
4. Contratación Estatal.
5. Estretegias para el Desarrollo de CompetenciasEfectivas Humanas.
6. Innovación Pública.
7. Sistema General de Pensiones.
8. Inducción Servidores.
9. MIPG_Marzo
10. Normatividad para conductores.
11. Presupuesto Público.
12. Familias Lactantes.
13. Bogotá te Escucha.
SST:
1.  Se realizo 18 afiliaciones a la ARL para los contratistas. 
2.  Desarrollo de reuniones mensuales de COPASST – 4 de junio de 2020.
3.  Se realiza 1 Investigaciones de accidente de trabajo, con la participación del COPASST. 
4.  Socialización Primeros Auxilios en presencialidad y en Casa. 
5.  Se realizaron 21 exámenes médico ocupacionales de ingreso, periódico, retiro. 
6.  Informe de Ausentismo.
7.  Programa de Modos, condiciones y estilos de vida y trabajo Saludable - Se realizo divulgación de pieza comunicacional de Cuerpo sano. Metodologías de autocuidado y nutrición. 
8.  Desarrollo de pausas activas virtuales y cognitivas, sensibilización de higiene postural e inspección de puesto de trabajo. 
9.  Diseño de campaña para salud mental relacionado con noticias falsas y tele orientación psicológica. 
10.  Se generaron 3 accidentes laborales. 
11.  Se realizo 1 Investigación de accidente de trabajo. 
12.  Se tiene una participación de 27 sedes con un 44% de cubrimiento para el programa de orden y aseo. 
13.  Piezas comunicacionales del Programa de riesgo público. 
14.  Socialización de Protocolo de Bioseguridad con Recade, entidades y revisión de espacios de aislamiento. 
15.  Piezas comunicacionales del Programa de Prevención de Caídas a Nivel. 
16.  Programa de Protección Contra Caídas (Trabajo en Alturas). – Diligenciamiento de Formatos y procedimiento para trabajo seguro en alturas. 
17.  Actualización de Matriz de Madurez del Sistema de Gestión de Seguridad y Salud en el Trabajo. 
18.  Se realiza reunión el 5 junio con el Equipo de Trabajo del Proceso de Gestión de la Seguridad y Salud en el Trabajo. 
19.  Se adopta el Procedimiento de Gestión del Cambio para las acciones en Seguridad y Salud en el Trabajo. </v>
      </c>
      <c r="BA58" t="str">
        <f>+IFERROR(IF(ISBLANK(VLOOKUP(CONCATENATE($F58,"_",BA$4),Corporativa_2,MATCH(BA$3,Corporativa!$F$27:$O$27,0),0)),"",VLOOKUP(CONCATENATE($F58,"_",BA$4),Corporativa_2,MATCH(BA$3,Corporativa!$F$27:$O$27,0),0)),"")</f>
        <v xml:space="preserve">PIB:
No aplica para este mes.
PIC:
No aplica para este mes.
SST:
No aplica para este mes.
</v>
      </c>
      <c r="BB58" t="str">
        <f>+IFERROR(IF(ISBLANK(VLOOKUP(CONCATENATE($F58,"_",BB$4),Corporativa_2,MATCH(BB$3,Corporativa!$F$27:$O$27,0),0)),"",VLOOKUP(CONCATENATE($F58,"_",BB$4),Corporativa_2,MATCH(BB$3,Corporativa!$F$27:$O$27,0),0)),"")</f>
        <v xml:space="preserve">PIB:
No aplica para este mes.
PIC:
a) Mejorar las habilidades comunicativas de los(as) Servidores(as) Públicos(as) y construir documentos comprensibles para el ciudadano.
b) Reconocer la importancia de la participación ciudadana para la construcción de tejido social.
C)  Afianzar los conocimientos de los(as) Servidores(as) Públicos(as) para desarrollar procesos de contratación de manera correcta, transparente y eficiente.
d) Concienciar las habilidades para la vida del (la) Servidor(a) hacia buenas prácticas desde el desarrollo de competencias efectivas.
e) Afianzar los conocimientos respecto a la gestión de peticiones ciudadanas, y en el manejo y funcionalidades de Bogotá te escucha, con el fin de promover buenas prácticas para la atención de peticiones conforme a la Ley.
f) Promover la lactancia materna exclusiva durante los primeros años de vida, proporcionando así  a los niños y las niñas toda la energía y los nutrientes que necesitan protegiéndolos de enfermedades infecciosas y crónicas; y garantizando en la sala de lactancia las condiciones adecuadas para la extracción, mantenimiento y almacenamiento de la leche materna.
g) Dar a conocer la nueva normatividad a los conductores de la Entidad.
SST:
Los beneficios identificados son:
1. Garantizar el cubrimiento por la ARL para los contratistas de la entidad.
2. Garantizar el cumplimiento de la legislación legal vigente.
3. Identificar las causas de la accidentalidad de la entidad para generar metodologías de minimización de los accidentes laborales.
4. Capacitar a los Brigadistas de Entidad ante situaciones de emergencia referentes al contagio por Sars CoV2 – COVID19.
5. Apoyo Psicosocial, referente a situaciones de contagio por Sars CoV2 – COVID19.
6. Medición del ausentismo por incapacidad para desarrollar actividades de prevención y promoción de la salud.
7. Desarrollo de actividades que ayuden a disminuir el riesgo osteomuscular.
8. Capacitar a colaboradores en el programa de prevención contra caídas.
9. Garantizar un procedimiento de gestión de cambio.
10. Realizar seguimiento a las condiciones de salud de los Servidores(as) públicos(as) de la entidad.
11. Seguimiento a la Madurez del Sistema de Gestión de Seguridad y Salud en el Trabajo en la entidad
12. Seguimiento de las actividades del SG-SST con el Equipo de Trabajo del Proceso.
</v>
      </c>
      <c r="BC58">
        <f t="shared" si="10"/>
        <v>24</v>
      </c>
      <c r="BD58">
        <f t="shared" si="10"/>
        <v>24</v>
      </c>
      <c r="BE58" s="129" t="str">
        <f>+IFERROR(IF(ISBLANK(VLOOKUP(CONCATENATE($F58,"_",BE$4),P7546_4,MATCH(BE$3,PAAC!$E$19:$M$19,0),0)),"",VLOOKUP(CONCATENATE($F58,"_",BE$4),P7546_4,MATCH(BE$3,PAAC!$E$19:$M$19,0),0)),"")</f>
        <v/>
      </c>
      <c r="BF58" s="129" t="str">
        <f>+IFERROR(IF(ISBLANK(VLOOKUP(CONCATENATE($F58,"_",BF$4),P7546_4,MATCH(BF$3,PAAC!$E$19:$M$19,0),0)),"",VLOOKUP(CONCATENATE($F58,"_",BF$4),P7546_4,MATCH(BF$3,PAAC!$E$19:$M$19,0),0)),"")</f>
        <v/>
      </c>
      <c r="BG58" s="129" t="str">
        <f>+IFERROR(IF(ISBLANK(VLOOKUP(CONCATENATE($F58,"_",BG$4),P7546_4,MATCH(BG$3,PAAC!$E$19:$M$19,0),0)),"",VLOOKUP(CONCATENATE($F58,"_",BG$4),P7546_4,MATCH(BG$3,PAAC!$E$19:$M$19,0),0)),"")</f>
        <v/>
      </c>
      <c r="BH58" s="129" t="str">
        <f>+IFERROR(IF(ISBLANK(VLOOKUP(CONCATENATE($F58,"_",BH$4),P7546_4,MATCH(BH$3,PAAC!$E$19:$M$19,0),0)),"",VLOOKUP(CONCATENATE($F58,"_",BH$4),P7546_4,MATCH(BH$3,PAAC!$E$19:$M$19,0),0)),"")</f>
        <v/>
      </c>
      <c r="BI58" s="129" t="str">
        <f>+IFERROR(IF(ISBLANK(VLOOKUP(CONCATENATE($F58,"_",BI$4),P7546_4,MATCH(BI$3,PAAC!$E$19:$M$19,0),0)),"",VLOOKUP(CONCATENATE($F58,"_",BI$4),P7546_4,MATCH(BI$3,PAAC!$E$19:$M$19,0),0)),"")</f>
        <v/>
      </c>
      <c r="BJ58" s="129" t="str">
        <f>+IFERROR(IF(ISBLANK(VLOOKUP(CONCATENATE($F58,"_",BJ$4),P7546_4,MATCH(BJ$3,PAAC!$E$19:$M$19,0),0)),"",VLOOKUP(CONCATENATE($F58,"_",BJ$4),P7546_4,MATCH(BJ$3,PAAC!$E$19:$M$19,0),0)),"")</f>
        <v/>
      </c>
      <c r="BK58" s="129" t="str">
        <f>+IFERROR(IF(ISBLANK(VLOOKUP(CONCATENATE($F58,"_",BK$4),P7546_4,MATCH(BK$3,PAAC!$E$19:$M$19,0),0)),"",VLOOKUP(CONCATENATE($F58,"_",BK$4),P7546_4,MATCH(BK$3,PAAC!$E$19:$M$19,0),0)),"")</f>
        <v/>
      </c>
      <c r="BL58" s="129" t="str">
        <f>+IFERROR(IF(ISBLANK(VLOOKUP(CONCATENATE($F58,"_",BL$4),P7546_4,MATCH(BL$3,PAAC!$E$19:$M$19,0),0)),"",VLOOKUP(CONCATENATE($F58,"_",BL$4),P7546_4,MATCH(BL$3,PAAC!$E$19:$M$19,0),0)),"")</f>
        <v/>
      </c>
      <c r="BM58" s="129" t="str">
        <f>+IFERROR(IF(ISBLANK(VLOOKUP(CONCATENATE($F58,"_",BM$4),P7546_4,MATCH(BM$3,PAAC!$E$19:$M$19,0),0)),"",VLOOKUP(CONCATENATE($F58,"_",BM$4),P7546_4,MATCH(BM$3,PAAC!$E$19:$M$19,0),0)),"")</f>
        <v/>
      </c>
      <c r="BN58" s="129" t="str">
        <f>+IFERROR(IF(ISBLANK(VLOOKUP(CONCATENATE($F58,"_",BN$4),P7546_4,MATCH(BN$3,PAAC!$E$19:$M$19,0),0)),"",VLOOKUP(CONCATENATE($F58,"_",BN$4),P7546_4,MATCH(BN$3,PAAC!$E$19:$M$19,0),0)),"")</f>
        <v/>
      </c>
      <c r="BO58" s="129" t="str">
        <f>+IFERROR(IF(ISBLANK(VLOOKUP(CONCATENATE($F58,"_",BO$4),P7546_4,MATCH(BO$3,PAAC!$E$19:$M$19,0),0)),"",VLOOKUP(CONCATENATE($F58,"_",BO$4),P7546_4,MATCH(BO$3,PAAC!$E$19:$M$19,0),0)),"")</f>
        <v/>
      </c>
      <c r="BP58" s="129" t="str">
        <f>+IFERROR(IF(ISBLANK(VLOOKUP(CONCATENATE($F58,"_",BP$4),P7546_4,MATCH(BP$3,PAAC!$E$19:$M$19,0),0)),"",VLOOKUP(CONCATENATE($F58,"_",BP$4),P7546_4,MATCH(BP$3,PAAC!$E$19:$M$19,0),0)),"")</f>
        <v/>
      </c>
      <c r="BQ58" s="129" t="str">
        <f>+IFERROR(IF(ISBLANK(VLOOKUP(CONCATENATE($F58,"_",BQ$4),P7546_4,MATCH(BQ$3,PAAC!$E$19:$M$19,0),0)),"",VLOOKUP(CONCATENATE($F58,"_",BQ$4),P7546_4,MATCH(BQ$3,PAAC!$E$19:$M$19,0),0)),"")</f>
        <v/>
      </c>
      <c r="BR58" s="129" t="str">
        <f>+IFERROR(IF(ISBLANK(VLOOKUP(CONCATENATE($F58,"_",BR$4),P7546_4,MATCH(BR$3,PAAC!$E$19:$M$19,0),0)),"",VLOOKUP(CONCATENATE($F58,"_",BR$4),P7546_4,MATCH(BR$3,PAAC!$E$19:$M$19,0),0)),"")</f>
        <v/>
      </c>
      <c r="BS58" s="129" t="str">
        <f>+IFERROR(IF(ISBLANK(VLOOKUP(CONCATENATE($F58,"_",BS$4),P7546_4,MATCH(BS$3,PAAC!$E$19:$M$19,0),0)),"",VLOOKUP(CONCATENATE($F58,"_",BS$4),P7546_4,MATCH(BS$3,PAAC!$E$19:$M$19,0),0)),"")</f>
        <v/>
      </c>
      <c r="BT58" s="129" t="str">
        <f>+IFERROR(IF(ISBLANK(VLOOKUP(CONCATENATE($F58,"_",BT$4),P7546_4,MATCH(BT$3,PAAC!$E$19:$M$19,0),0)),"",VLOOKUP(CONCATENATE($F58,"_",BT$4),P7546_4,MATCH(BT$3,PAAC!$E$19:$M$19,0),0)),"")</f>
        <v/>
      </c>
      <c r="BU58" s="129" t="str">
        <f>+IFERROR(IF(ISBLANK(VLOOKUP(CONCATENATE($F58,"_",BU$4),P7546_4,MATCH(BU$3,PAAC!$E$19:$M$19,0),0)),"",VLOOKUP(CONCATENATE($F58,"_",BU$4),P7546_4,MATCH(BU$3,PAAC!$E$19:$M$19,0),0)),"")</f>
        <v/>
      </c>
      <c r="BV58" s="129" t="str">
        <f>+IFERROR(IF(ISBLANK(VLOOKUP(CONCATENATE($F58,"_",BV$4),P7546_4,MATCH(BV$3,PAAC!$E$19:$M$19,0),0)),"",VLOOKUP(CONCATENATE($F58,"_",BV$4),P7546_4,MATCH(BV$3,PAAC!$E$19:$M$19,0),0)),"")</f>
        <v/>
      </c>
      <c r="BW58" s="129" t="str">
        <f>+IFERROR(IF(ISBLANK(VLOOKUP(CONCATENATE($F58,"_",BW$4),P7546_4,MATCH(BW$3,PAAC!$E$19:$M$19,0),0)),"",VLOOKUP(CONCATENATE($F58,"_",BW$4),P7546_4,MATCH(BW$3,PAAC!$E$19:$M$19,0),0)),"")</f>
        <v/>
      </c>
      <c r="BX58" s="129" t="str">
        <f>+IFERROR(IF(ISBLANK(VLOOKUP(CONCATENATE($F58,"_",BX$4),P7546_4,MATCH(BX$3,PAAC!$E$19:$M$19,0),0)),"",VLOOKUP(CONCATENATE($F58,"_",BX$4),P7546_4,MATCH(BX$3,PAAC!$E$19:$M$19,0),0)),"")</f>
        <v/>
      </c>
      <c r="BY58" s="129" t="str">
        <f>+IFERROR(IF(ISBLANK(VLOOKUP(CONCATENATE($F58,"_",BY$4),P7546_4,MATCH(BY$3,PAAC!$E$19:$M$19,0),0)),"",VLOOKUP(CONCATENATE($F58,"_",BY$4),P7546_4,MATCH(BY$3,PAAC!$E$19:$M$19,0),0)),"")</f>
        <v/>
      </c>
      <c r="BZ58" s="129" t="str">
        <f>+IFERROR(IF(ISBLANK(VLOOKUP(CONCATENATE($F58,"_",BZ$4),P7546_4,MATCH(BZ$3,PAAC!$E$19:$M$19,0),0)),"",VLOOKUP(CONCATENATE($F58,"_",BZ$4),P7546_4,MATCH(BZ$3,PAAC!$E$19:$M$19,0),0)),"")</f>
        <v/>
      </c>
      <c r="CA58" s="129" t="str">
        <f>+IFERROR(IF(ISBLANK(VLOOKUP(CONCATENATE($F58,"_",CA$4),P7546_4,MATCH(CA$3,PAAC!$E$19:$M$19,0),0)),"",VLOOKUP(CONCATENATE($F58,"_",CA$4),P7546_4,MATCH(CA$3,PAAC!$E$19:$M$19,0),0)),"")</f>
        <v/>
      </c>
      <c r="CB58" s="129" t="str">
        <f>+IFERROR(IF(ISBLANK(VLOOKUP(CONCATENATE($F58,"_",CB$4),P7546_4,MATCH(CB$3,PAAC!$E$19:$M$19,0),0)),"",VLOOKUP(CONCATENATE($F58,"_",CB$4),P7546_4,MATCH(CB$3,PAAC!$E$19:$M$19,0),0)),"")</f>
        <v/>
      </c>
      <c r="CC58" s="129" t="str">
        <f>+IFERROR(IF(ISBLANK(VLOOKUP(CONCATENATE($F58,"_",CC$4),P7546_4,MATCH(CC$3,PAAC!$E$19:$M$19,0),0)),"",VLOOKUP(CONCATENATE($F58,"_",CC$4),P7546_4,MATCH(CC$3,PAAC!$E$19:$M$19,0),0)),"")</f>
        <v/>
      </c>
      <c r="CD58" s="129" t="str">
        <f t="shared" si="11"/>
        <v/>
      </c>
      <c r="CE58" s="129" t="str">
        <f t="shared" si="3"/>
        <v/>
      </c>
      <c r="CF58" s="129" t="str">
        <f t="shared" si="4"/>
        <v/>
      </c>
      <c r="CG58" s="129" t="str">
        <f t="shared" si="5"/>
        <v/>
      </c>
      <c r="CH58" s="129" t="str">
        <f t="shared" si="6"/>
        <v/>
      </c>
      <c r="CI58" t="str">
        <f t="shared" si="45"/>
        <v>Cumple</v>
      </c>
      <c r="CJ58" t="str">
        <f t="shared" si="45"/>
        <v>Deficiente</v>
      </c>
      <c r="CK58" t="str">
        <f t="shared" si="45"/>
        <v>No adecuado</v>
      </c>
      <c r="CL58" t="str">
        <f t="shared" si="45"/>
        <v>Coherente</v>
      </c>
      <c r="CM58" t="str">
        <f t="shared" si="45"/>
        <v>Concuerda</v>
      </c>
      <c r="CN58" t="str">
        <f t="shared" si="45"/>
        <v>Concuerda</v>
      </c>
      <c r="CO58" t="str">
        <f t="shared" si="45"/>
        <v>Relación directa</v>
      </c>
      <c r="CP58" t="str">
        <f t="shared" si="45"/>
        <v>Adecuado</v>
      </c>
      <c r="CQ58" t="str">
        <f t="shared" si="45"/>
        <v>Oportuna</v>
      </c>
      <c r="CR58" t="str">
        <f t="shared" si="45"/>
        <v xml:space="preserve">1. Se evidencia un avance cuantitativo del Indicador del 41.67% con corte a 31 de mayo de 2020, teniendo en cuenta que seis (6) de las actividades programadas para el periodo evaluado, no se llevaron a cabo como se tenían programadas, se realizó su respectiva reprogramación.
</v>
      </c>
      <c r="CS58" t="str">
        <f t="shared" si="46"/>
        <v>Bibiana Rodríguez González</v>
      </c>
      <c r="CT58" t="str">
        <f t="shared" si="46"/>
        <v>Cumple</v>
      </c>
      <c r="CU58" t="str">
        <f t="shared" si="46"/>
        <v>Cumplido</v>
      </c>
      <c r="CV58" t="str">
        <f t="shared" si="46"/>
        <v>Adecuado</v>
      </c>
      <c r="CW58" t="str">
        <f t="shared" si="46"/>
        <v>Coherente</v>
      </c>
      <c r="CX58" t="str">
        <f t="shared" si="46"/>
        <v>Concuerda</v>
      </c>
      <c r="CY58" t="str">
        <f t="shared" si="46"/>
        <v>No aplica</v>
      </c>
      <c r="CZ58" t="str">
        <f t="shared" si="46"/>
        <v>Relación directa</v>
      </c>
      <c r="DA58" t="str">
        <f t="shared" si="46"/>
        <v>Adecuado</v>
      </c>
      <c r="DB58" t="str">
        <f t="shared" si="46"/>
        <v>Oportuna</v>
      </c>
      <c r="DC58" t="str">
        <f t="shared" si="47"/>
        <v>No aplica</v>
      </c>
      <c r="DD58" t="str">
        <f t="shared" si="47"/>
        <v>Bibiana Rodríguez González</v>
      </c>
      <c r="DE58" t="e">
        <f t="shared" si="47"/>
        <v>#REF!</v>
      </c>
      <c r="DF58" t="e">
        <f t="shared" si="47"/>
        <v>#REF!</v>
      </c>
      <c r="DG58" t="e">
        <f t="shared" si="47"/>
        <v>#REF!</v>
      </c>
      <c r="DH58" t="e">
        <f t="shared" si="47"/>
        <v>#REF!</v>
      </c>
      <c r="DI58" t="e">
        <f t="shared" si="47"/>
        <v>#REF!</v>
      </c>
      <c r="DJ58" t="e">
        <f t="shared" si="47"/>
        <v>#REF!</v>
      </c>
      <c r="DK58" t="e">
        <f t="shared" si="47"/>
        <v>#REF!</v>
      </c>
      <c r="DL58" t="e">
        <f t="shared" si="47"/>
        <v>#REF!</v>
      </c>
      <c r="DM58" t="e">
        <f t="shared" si="48"/>
        <v>#REF!</v>
      </c>
      <c r="DN58" t="e">
        <f t="shared" si="48"/>
        <v>#REF!</v>
      </c>
      <c r="DO58" t="e">
        <f t="shared" si="48"/>
        <v>#REF!</v>
      </c>
      <c r="DP58" t="e">
        <f t="shared" si="48"/>
        <v>#REF!</v>
      </c>
      <c r="DQ58" t="e">
        <f t="shared" si="48"/>
        <v>#REF!</v>
      </c>
      <c r="DR58" t="e">
        <f t="shared" si="48"/>
        <v>#REF!</v>
      </c>
      <c r="DS58" t="e">
        <f t="shared" si="48"/>
        <v>#REF!</v>
      </c>
      <c r="DT58" t="e">
        <f t="shared" si="48"/>
        <v>#REF!</v>
      </c>
      <c r="DU58" t="e">
        <f t="shared" si="48"/>
        <v>#REF!</v>
      </c>
      <c r="DV58" t="e">
        <f t="shared" si="48"/>
        <v>#REF!</v>
      </c>
      <c r="DW58" t="e">
        <f t="shared" si="48"/>
        <v>#REF!</v>
      </c>
      <c r="DX58" t="e">
        <f t="shared" si="48"/>
        <v>#REF!</v>
      </c>
    </row>
    <row r="59" spans="1:128" x14ac:dyDescent="0.3">
      <c r="A59" s="423">
        <f t="shared" ref="A59:A69" si="49">+F59</f>
        <v>120</v>
      </c>
      <c r="B59" t="str">
        <f t="shared" ref="B59:B69" si="50">+C59&amp;"_"&amp;D59</f>
        <v>1_Dirección Administrativa y Financiera</v>
      </c>
      <c r="C59">
        <f t="shared" si="8"/>
        <v>1</v>
      </c>
      <c r="D59" t="str">
        <f t="shared" si="0"/>
        <v>Dirección Administrativa y Financiera</v>
      </c>
      <c r="E59" t="str">
        <f t="shared" ref="E59:E69" si="51">+VLOOKUP(D59,responsables,8,0)</f>
        <v>daf</v>
      </c>
      <c r="F59" s="207">
        <f>Corporativa!D13</f>
        <v>120</v>
      </c>
      <c r="G59" t="str">
        <f t="shared" si="30"/>
        <v>Creciente</v>
      </c>
      <c r="H59" t="str">
        <f t="shared" si="30"/>
        <v>Porcentaje</v>
      </c>
      <c r="I59">
        <f t="shared" si="30"/>
        <v>0</v>
      </c>
      <c r="J59">
        <f t="shared" si="30"/>
        <v>1</v>
      </c>
      <c r="K59" t="str">
        <f>+IFERROR(VLOOKUP($F59,Corporativa_1,MATCH(K$5,Corporativa!$D$9:$V$9,0),0),"")</f>
        <v>Suma</v>
      </c>
      <c r="L59">
        <f>+IFERROR(VLOOKUP($F59,Corporativa_1,MATCH(L$5,Corporativa!$D$9:$V$9,0),0),"")</f>
        <v>49</v>
      </c>
      <c r="M59">
        <f t="shared" si="40"/>
        <v>26</v>
      </c>
      <c r="N59">
        <f>+IFERROR(VLOOKUP($F59,Corporativa_1,MATCH(N$5,Corporativa!$D$9:$V$9,0),0),"")</f>
        <v>7</v>
      </c>
      <c r="O59">
        <f>+IFERROR(VLOOKUP($F59,Corporativa_1,MATCH(O$5,Corporativa!$D$9:$V$9,0),0),"")</f>
        <v>6</v>
      </c>
      <c r="P59">
        <f>+IFERROR(VLOOKUP($F59,Corporativa_1,MATCH(P$5,Corporativa!$D$9:$V$9,0),0),"")</f>
        <v>13</v>
      </c>
      <c r="Q59">
        <f>+IFERROR(VLOOKUP($F59,Corporativa_1,MATCH(Q$5,Corporativa!$D$9:$V$9,0),0),"")</f>
        <v>7</v>
      </c>
      <c r="R59">
        <f>+IFERROR(VLOOKUP($F59,Corporativa_1,MATCH(R$5,Corporativa!$D$9:$V$9,0),0),"")</f>
        <v>0</v>
      </c>
      <c r="S59">
        <f>+IFERROR(VLOOKUP($F59,Corporativa_1,MATCH(S$5,Corporativa!$D$9:$V$9,0),0),"")</f>
        <v>16</v>
      </c>
      <c r="T59">
        <f>+IFERROR(VLOOKUP($F59,Corporativa_1,MATCH(T$5,Corporativa!$D$9:$V$9,0),0),"")</f>
        <v>100</v>
      </c>
      <c r="U59" t="str">
        <f>+IFERROR(VLOOKUP($F59,Corporativa_1,MATCH(U$5,Corporativa!$D$9:$V$9,0),0),"")</f>
        <v>Este indicador mide la ejecución de los programas para el cumplimiento del plan de acción aprobado por el Comité de Seguridad Vial de la Secretaría General en concordancia a lo establecido por la Secretaría de Movilidad.</v>
      </c>
      <c r="V59" t="str">
        <f>+IFERROR(VLOOKUP($F59,Corporativa_1,MATCH(V$5,Corporativa!$D$9:$V$9,0),0),"")</f>
        <v>Planear, ejecutar y hacer seguimiento al Plan de acción establecido para la Secretaría General.</v>
      </c>
      <c r="W59" t="str">
        <f>+IFERROR(VLOOKUP($F59,Corporativa_1,MATCH(W$5,Corporativa!$D$9:$V$9,0),0),"")</f>
        <v>Reducción de accidentalidad en todos los actores de la via, creación de cultura vial y concientización a los usuarios.</v>
      </c>
      <c r="X59" t="str">
        <f>+IFERROR(VLOOKUP($F59,Corporativa_1,MATCH(X$5,Corporativa!$D$9:$V$9,0),0),"")</f>
        <v xml:space="preserve">Cronograma de plan de acción de la Vigencia, registros fílmicos,  fotográficos y evidencias de reunión y actividades realizadas. </v>
      </c>
      <c r="Y59">
        <f>+IFERROR(IF(ISBLANK(VLOOKUP(CONCATENATE($F59,"_",Y$4),Corporativa_2,MATCH(Y$3,Corporativa!$F$27:$O$27,0),0)),"",VLOOKUP(CONCATENATE($F59,"_",Y$4),Corporativa_2,MATCH(Y$3,Corporativa!$F$27:$O$27,0),0)),"")</f>
        <v>7</v>
      </c>
      <c r="Z59">
        <f>+IFERROR(IF(ISBLANK(VLOOKUP(CONCATENATE($F59,"_",Z$4),Corporativa_2,MATCH(Z$3,Corporativa!$F$27:$O$27,0),0)),"",VLOOKUP(CONCATENATE($F59,"_",Z$4),Corporativa_2,MATCH(Z$3,Corporativa!$F$27:$O$27,0),0)),"")</f>
        <v>7</v>
      </c>
      <c r="AA59" t="str">
        <f>+IFERROR(IF(ISBLANK(VLOOKUP(CONCATENATE($F59,"_",AA$4),Corporativa_2,MATCH(AA$3,Corporativa!$F$27:$O$27,0),0)),"",VLOOKUP(CONCATENATE($F59,"_",AA$4),Corporativa_2,MATCH(AA$3,Corporativa!$F$27:$O$27,0),0)),"")</f>
        <v>Actualización del Plan Estratégico de Seguridad Vial de acuerdo con la normatividad vigente.</v>
      </c>
      <c r="AB59" t="str">
        <f>+IFERROR(IF(ISBLANK(VLOOKUP(CONCATENATE($F59,"_",AB$4),Corporativa_2,MATCH(AB$3,Corporativa!$F$27:$O$27,0),0)),"",VLOOKUP(CONCATENATE($F59,"_",AB$4),Corporativa_2,MATCH(AB$3,Corporativa!$F$27:$O$27,0),0)),"")</f>
        <v>El retraso que se ha tenido ha sido la diferencia de criterios entre  la oficina de planeación y la oficina de control interno con respecto al Comité de Seguridad Vial.
Se planteó como solución por parte de la DAF, realizar una reunión trimestral con un equipo de trabajo, para dar solución a las interpretaciones en loas 2 oficinas asesora.</v>
      </c>
      <c r="AC59" t="str">
        <f>+IFERROR(IF(ISBLANK(VLOOKUP(CONCATENATE($F59,"_",AC$4),Corporativa_2,MATCH(AC$3,Corporativa!$F$27:$O$27,0),0)),"",VLOOKUP(CONCATENATE($F59,"_",AC$4),Corporativa_2,MATCH(AC$3,Corporativa!$F$27:$O$27,0),0)),"")</f>
        <v>Acciones, estrategias y medidas actualizadas acorde a la normatividad legal vigente y a las necesidades de la entidad permitiendo así disminuir la accidentalidad en la Secretaría General</v>
      </c>
      <c r="AD59">
        <f>+IFERROR(IF(ISBLANK(VLOOKUP(CONCATENATE($F59,"_",AD$4),Corporativa_2,MATCH(AD$3,Corporativa!$F$27:$O$27,0),0)),"",VLOOKUP(CONCATENATE($F59,"_",AD$4),Corporativa_2,MATCH(AD$3,Corporativa!$F$27:$O$27,0),0)),"")</f>
        <v>6</v>
      </c>
      <c r="AE59">
        <f>+IFERROR(IF(ISBLANK(VLOOKUP(CONCATENATE($F59,"_",AE$4),Corporativa_2,MATCH(AE$3,Corporativa!$F$27:$O$27,0),0)),"",VLOOKUP(CONCATENATE($F59,"_",AE$4),Corporativa_2,MATCH(AE$3,Corporativa!$F$27:$O$27,0),0)),"")</f>
        <v>6</v>
      </c>
      <c r="AF59" t="str">
        <f>+IFERROR(IF(ISBLANK(VLOOKUP(CONCATENATE($F59,"_",AF$4),Corporativa_2,MATCH(AF$3,Corporativa!$F$27:$O$27,0),0)),"",VLOOKUP(CONCATENATE($F59,"_",AF$4),Corporativa_2,MATCH(AF$3,Corporativa!$F$27:$O$27,0),0)),"")</f>
        <v>Se continúa con la actualización del Plan Estratégico de Seguridad Vial de acuerdo con la normatividad vigente y se da inicio a la planeación de campañas de sensibilización para los servidores de la entidad.</v>
      </c>
      <c r="AG59" t="str">
        <f>+IFERROR(IF(ISBLANK(VLOOKUP(CONCATENATE($F59,"_",AG$4),Corporativa_2,MATCH(AG$3,Corporativa!$F$27:$O$27,0),0)),"",VLOOKUP(CONCATENATE($F59,"_",AG$4),Corporativa_2,MATCH(AG$3,Corporativa!$F$27:$O$27,0),0)),"")</f>
        <v>N.A</v>
      </c>
      <c r="AH59" t="str">
        <f>+IFERROR(IF(ISBLANK(VLOOKUP(CONCATENATE($F59,"_",AH$4),Corporativa_2,MATCH(AH$3,Corporativa!$F$27:$O$27,0),0)),"",VLOOKUP(CONCATENATE($F59,"_",AH$4),Corporativa_2,MATCH(AH$3,Corporativa!$F$27:$O$27,0),0)),"")</f>
        <v>Acciones, estrategias y medidas actualizadas acorde a la normatividad legal vigente y a las necesidades de la entidad permitiendo así disminuir la accidentalidad en la Secretaría General y un(os) servidor(es) con conocimientos en Seguridad Vial</v>
      </c>
      <c r="AI59">
        <f>+IFERROR(IF(ISBLANK(VLOOKUP(CONCATENATE($F59,"_",AI$4),Corporativa_2,MATCH(AI$3,Corporativa!$F$27:$O$27,0),0)),"",VLOOKUP(CONCATENATE($F59,"_",AI$4),Corporativa_2,MATCH(AI$3,Corporativa!$F$27:$O$27,0),0)),"")</f>
        <v>13</v>
      </c>
      <c r="AJ59">
        <f>+IFERROR(IF(ISBLANK(VLOOKUP(CONCATENATE($F59,"_",AJ$4),Corporativa_2,MATCH(AJ$3,Corporativa!$F$27:$O$27,0),0)),"",VLOOKUP(CONCATENATE($F59,"_",AJ$4),Corporativa_2,MATCH(AJ$3,Corporativa!$F$27:$O$27,0),0)),"")</f>
        <v>13</v>
      </c>
      <c r="AK59" t="str">
        <f>+IFERROR(IF(ISBLANK(VLOOKUP(CONCATENATE($F59,"_",AK$4),Corporativa_2,MATCH(AK$3,Corporativa!$F$27:$O$27,0),0)),"",VLOOKUP(CONCATENATE($F59,"_",AK$4),Corporativa_2,MATCH(AK$3,Corporativa!$F$27:$O$27,0),0)),"")</f>
        <v xml:space="preserve">Se continúo con la actualización del Plan Estratégico de Seguridad Vial de acuerdo con la normatividad vigente
Se planeo y ejecuto las campañas de sensibilización de Bicipensante en las sedes  Archivo de Bogotá y Manzana Liévano
Se consolidó y analizó el informe de consumo de combustible y los formatos de chequeo preoperacional de los vehículos del parque automotor 
Se realizó seguimiento a los incidentes de tránsito 
Consolidar y analizar el Informe mantenimiento vehículos.
</v>
      </c>
      <c r="AL59" t="str">
        <f>+IFERROR(IF(ISBLANK(VLOOKUP(CONCATENATE($F59,"_",AL$4),Corporativa_2,MATCH(AL$3,Corporativa!$F$27:$O$27,0),0)),"",VLOOKUP(CONCATENATE($F59,"_",AL$4),Corporativa_2,MATCH(AL$3,Corporativa!$F$27:$O$27,0),0)),"")</f>
        <v>N.A</v>
      </c>
      <c r="AM59" t="str">
        <f>+IFERROR(IF(ISBLANK(VLOOKUP(CONCATENATE($F59,"_",AM$4),Corporativa_2,MATCH(AM$3,Corporativa!$F$27:$O$27,0),0)),"",VLOOKUP(CONCATENATE($F59,"_",AM$4),Corporativa_2,MATCH(AM$3,Corporativa!$F$27:$O$27,0),0)),"")</f>
        <v>Acciones, estrategias y medidas actualizadas acorde a la normatividad legal vigente
Servidores sensibilizados sobre la importancia del autocuidado con los actores viales en el espacio público
Verificación de controles en el consumo de combustible en el parque automotor de la Secretaría
Verificación de los incidentes presentados con el fin de prevenir o reducir al mínimo el riesgo de incidentes y las consecuencias de estos</v>
      </c>
      <c r="AN59">
        <f>+IFERROR(IF(ISBLANK(VLOOKUP(CONCATENATE($F59,"_",AN$4),Corporativa_2,MATCH(AN$3,Corporativa!$F$27:$O$27,0),0)),"",VLOOKUP(CONCATENATE($F59,"_",AN$4),Corporativa_2,MATCH(AN$3,Corporativa!$F$27:$O$27,0),0)),"")</f>
        <v>7</v>
      </c>
      <c r="AO59">
        <f>+IFERROR(IF(ISBLANK(VLOOKUP(CONCATENATE($F59,"_",AO$4),Corporativa_2,MATCH(AO$3,Corporativa!$F$27:$O$27,0),0)),"",VLOOKUP(CONCATENATE($F59,"_",AO$4),Corporativa_2,MATCH(AO$3,Corporativa!$F$27:$O$27,0),0)),"")</f>
        <v>7</v>
      </c>
      <c r="AP59" t="str">
        <f>+IFERROR(IF(ISBLANK(VLOOKUP(CONCATENATE($F59,"_",AP$4),Corporativa_2,MATCH(AP$3,Corporativa!$F$27:$O$27,0),0)),"",VLOOKUP(CONCATENATE($F59,"_",AP$4),Corporativa_2,MATCH(AP$3,Corporativa!$F$27:$O$27,0),0)),"")</f>
        <v>Se actualizó el Plan Estratégico de Seguridad Vial de acuerdo con la normatividad vigente y se presentó el informe de gestión de este</v>
      </c>
      <c r="AQ59" t="str">
        <f>+IFERROR(IF(ISBLANK(VLOOKUP(CONCATENATE($F59,"_",AQ$4),Corporativa_2,MATCH(AQ$3,Corporativa!$F$27:$O$27,0),0)),"",VLOOKUP(CONCATENATE($F59,"_",AQ$4),Corporativa_2,MATCH(AQ$3,Corporativa!$F$27:$O$27,0),0)),"")</f>
        <v>N.A</v>
      </c>
      <c r="AR59" t="str">
        <f>+IFERROR(IF(ISBLANK(VLOOKUP(CONCATENATE($F59,"_",AR$4),Corporativa_2,MATCH(AR$3,Corporativa!$F$27:$O$27,0),0)),"",VLOOKUP(CONCATENATE($F59,"_",AR$4),Corporativa_2,MATCH(AR$3,Corporativa!$F$27:$O$27,0),0)),"")</f>
        <v>Plan Estratégico de Seguridad Vial actualizado</v>
      </c>
      <c r="AS59">
        <f>+IFERROR(IF(ISBLANK(VLOOKUP(CONCATENATE($F59,"_",AS$4),Corporativa_2,MATCH(AS$3,Corporativa!$F$27:$O$27,0),0)),"",VLOOKUP(CONCATENATE($F59,"_",AS$4),Corporativa_2,MATCH(AS$3,Corporativa!$F$27:$O$27,0),0)),"")</f>
        <v>0</v>
      </c>
      <c r="AT59">
        <f>+IFERROR(IF(ISBLANK(VLOOKUP(CONCATENATE($F59,"_",AT$4),Corporativa_2,MATCH(AT$3,Corporativa!$F$27:$O$27,0),0)),"",VLOOKUP(CONCATENATE($F59,"_",AT$4),Corporativa_2,MATCH(AT$3,Corporativa!$F$27:$O$27,0),0)),"")</f>
        <v>0</v>
      </c>
      <c r="AU59" t="str">
        <f>+IFERROR(IF(ISBLANK(VLOOKUP(CONCATENATE($F59,"_",AU$4),Corporativa_2,MATCH(AU$3,Corporativa!$F$27:$O$27,0),0)),"",VLOOKUP(CONCATENATE($F59,"_",AU$4),Corporativa_2,MATCH(AU$3,Corporativa!$F$27:$O$27,0),0)),"")</f>
        <v>Para el mes de mayo no se tiene actividades programadas</v>
      </c>
      <c r="AV59" t="str">
        <f>+IFERROR(IF(ISBLANK(VLOOKUP(CONCATENATE($F59,"_",AV$4),Corporativa_2,MATCH(AV$3,Corporativa!$F$27:$O$27,0),0)),"",VLOOKUP(CONCATENATE($F59,"_",AV$4),Corporativa_2,MATCH(AV$3,Corporativa!$F$27:$O$27,0),0)),"")</f>
        <v>N.A</v>
      </c>
      <c r="AW59" t="str">
        <f>+IFERROR(IF(ISBLANK(VLOOKUP(CONCATENATE($F59,"_",AW$4),Corporativa_2,MATCH(AW$3,Corporativa!$F$27:$O$27,0),0)),"",VLOOKUP(CONCATENATE($F59,"_",AW$4),Corporativa_2,MATCH(AW$3,Corporativa!$F$27:$O$27,0),0)),"")</f>
        <v>N.A</v>
      </c>
      <c r="AX59">
        <f>+IFERROR(IF(ISBLANK(VLOOKUP(CONCATENATE($F59,"_",AX$4),Corporativa_2,MATCH(AX$3,Corporativa!$F$27:$O$27,0),0)),"",VLOOKUP(CONCATENATE($F59,"_",AX$4),Corporativa_2,MATCH(AX$3,Corporativa!$F$27:$O$27,0),0)),"")</f>
        <v>9</v>
      </c>
      <c r="AY59">
        <f>+IFERROR(IF(ISBLANK(VLOOKUP(CONCATENATE($F59,"_",AY$4),Corporativa_2,MATCH(AY$3,Corporativa!$F$27:$O$27,0),0)),"",VLOOKUP(CONCATENATE($F59,"_",AY$4),Corporativa_2,MATCH(AY$3,Corporativa!$F$27:$O$27,0),0)),"")</f>
        <v>16</v>
      </c>
      <c r="AZ59" t="str">
        <f>+IFERROR(IF(ISBLANK(VLOOKUP(CONCATENATE($F59,"_",AZ$4),Corporativa_2,MATCH(AZ$3,Corporativa!$F$27:$O$27,0),0)),"",VLOOKUP(CONCATENATE($F59,"_",AZ$4),Corporativa_2,MATCH(AZ$3,Corporativa!$F$27:$O$27,0),0)),"")</f>
        <v>1. Se actualizó el PESV, se encuentra pendiente la publicación del mismo en la página de la Entidad. 2. Se realizó el informe de gestión, mas sin embargo el mismo no se ha finalizado debido a que falta información sobre los mantenimientos realizados la cual no ha sido entregada por la SSA. 3. La capacitación para los conductores presentó inconvenientes ya que debió ser virtual, se adjunta informe emitido por talento Humano - PIC. 4. Se realizarón las campañas de sensibilización de manera virtual debido a la contingencia sanitaria. 5. Se realizó la sensibilización en la reinduciión a los servidores de la Entidad, la cual fue virtual. 6. Se realizó el análisis de los consumos de combustible. 7. Se entregaron las planillas de chequeo preoperacional y se realizó el respectivo análisis. 8. No ha sido posible actualizar la información de los mantenimientos realizados para el mes de junio ya que la información no ha sido suministrada por la SSA. 9. Se instalarón los planos en la Sala de conductores para el análisis de rutas seguras. 10. Se realizó seguimiento a los veh´ciulos de la Entidad, los cuales no presentaron accidentes o incidentes de tránsito en el mes de Junio.</v>
      </c>
      <c r="BA59" t="str">
        <f>+IFERROR(IF(ISBLANK(VLOOKUP(CONCATENATE($F59,"_",BA$4),Corporativa_2,MATCH(BA$3,Corporativa!$F$27:$O$27,0),0)),"",VLOOKUP(CONCATENATE($F59,"_",BA$4),Corporativa_2,MATCH(BA$3,Corporativa!$F$27:$O$27,0),0)),"")</f>
        <v>El retraso es debido a que el contratista no radicó la factura de los mantenimientos ejecutados en el mes de Junio, por consiguiente no fue posible tener acceso a la información, afectando el cumplimiento mensual en un 2%. 
Por necesidades del servicio los conductores no pudieron atender las actividades de la capacitación, afectando el cumplimiento mensual en un 5%.</v>
      </c>
      <c r="BB59" t="str">
        <f>+IFERROR(IF(ISBLANK(VLOOKUP(CONCATENATE($F59,"_",BB$4),Corporativa_2,MATCH(BB$3,Corporativa!$F$27:$O$27,0),0)),"",VLOOKUP(CONCATENATE($F59,"_",BB$4),Corporativa_2,MATCH(BB$3,Corporativa!$F$27:$O$27,0),0)),"")</f>
        <v>La mayoría de la información se encuentra al día, lo cual permite ejercer control sobre los consumos  y presentación de informes como lo es el de austeridad del gasto</v>
      </c>
      <c r="BC59">
        <f t="shared" si="10"/>
        <v>42</v>
      </c>
      <c r="BD59">
        <f t="shared" si="10"/>
        <v>49</v>
      </c>
      <c r="CI59" t="str">
        <f t="shared" si="45"/>
        <v>Cumple</v>
      </c>
      <c r="CJ59" t="str">
        <f t="shared" si="45"/>
        <v>Cumplido</v>
      </c>
      <c r="CK59" t="str">
        <f t="shared" si="45"/>
        <v>Adecuado</v>
      </c>
      <c r="CL59" t="str">
        <f t="shared" si="45"/>
        <v>Coherente</v>
      </c>
      <c r="CM59" t="str">
        <f t="shared" si="45"/>
        <v>Difiere</v>
      </c>
      <c r="CN59" t="str">
        <f t="shared" si="45"/>
        <v>Concuerda</v>
      </c>
      <c r="CO59" t="str">
        <f t="shared" si="45"/>
        <v>No aplica</v>
      </c>
      <c r="CP59" t="str">
        <f t="shared" si="45"/>
        <v>Adecuado</v>
      </c>
      <c r="CQ59" t="str">
        <f t="shared" si="45"/>
        <v>Oportuna</v>
      </c>
      <c r="CR59" t="str">
        <f t="shared" si="45"/>
        <v xml:space="preserve">Se sugiere que en el reporte cualitativo se relacione y especifique el avance en las actividades del plan de acción, de manera que se pueda verificar repecto a las evidencias aportadas en el periodo. </v>
      </c>
      <c r="CS59" t="str">
        <f t="shared" si="46"/>
        <v>Sandra Patricia Ortiz Barrera</v>
      </c>
      <c r="CT59" t="str">
        <f t="shared" si="46"/>
        <v>No cumple</v>
      </c>
      <c r="CU59" t="str">
        <f t="shared" si="46"/>
        <v>Insuficiente</v>
      </c>
      <c r="CV59" t="str">
        <f t="shared" si="46"/>
        <v>No adecuado</v>
      </c>
      <c r="CW59" t="str">
        <f t="shared" si="46"/>
        <v>Coherente</v>
      </c>
      <c r="CX59" t="str">
        <f t="shared" si="46"/>
        <v>Difiere</v>
      </c>
      <c r="CY59" t="str">
        <f t="shared" si="46"/>
        <v>Indeterminado</v>
      </c>
      <c r="CZ59" t="str">
        <f t="shared" si="46"/>
        <v>No aplica</v>
      </c>
      <c r="DA59" t="str">
        <f t="shared" si="46"/>
        <v>No adecuado</v>
      </c>
      <c r="DB59" t="str">
        <f t="shared" si="46"/>
        <v>Oportuna</v>
      </c>
      <c r="DC59" t="str">
        <f t="shared" si="47"/>
        <v xml:space="preserve">El proceso programó para el mes de junio una magnitud de meta de 16,  no obstante reportaron 8 actividades del plan de seguridad vial ejecutadas /  10 actividades del plan de seguridad vial, programadas, lo cual no es suficiente para lo programado. Así mismo, no solicitaron su reprogramación el tiempo previsto por la OAP, conforme a radicado 3-2020-12465. Los retrasos o dificultades reportadas no explican claramente el número de actividades que se incumplieron, tampoco soluciones para el cumplimiento de la meta. Se verificaron 10 evidencias cargadas, se visualizan 6 en el reporte cuantitativo y se reportan 8 actividades ejecutadas de 10 programadas según reporte cuantitativo, lo cual no es adecuado_x000D_
</v>
      </c>
      <c r="DD59">
        <f t="shared" si="47"/>
        <v>0</v>
      </c>
      <c r="DE59" t="e">
        <f t="shared" si="47"/>
        <v>#REF!</v>
      </c>
      <c r="DF59" t="e">
        <f t="shared" si="47"/>
        <v>#REF!</v>
      </c>
      <c r="DG59" t="e">
        <f t="shared" si="47"/>
        <v>#REF!</v>
      </c>
      <c r="DH59" t="e">
        <f t="shared" si="47"/>
        <v>#REF!</v>
      </c>
      <c r="DI59" t="e">
        <f t="shared" si="47"/>
        <v>#REF!</v>
      </c>
      <c r="DJ59" t="e">
        <f t="shared" si="47"/>
        <v>#REF!</v>
      </c>
      <c r="DK59" t="e">
        <f t="shared" si="47"/>
        <v>#REF!</v>
      </c>
      <c r="DL59" t="e">
        <f t="shared" si="47"/>
        <v>#REF!</v>
      </c>
      <c r="DM59" t="e">
        <f t="shared" si="48"/>
        <v>#REF!</v>
      </c>
      <c r="DN59" t="e">
        <f t="shared" si="48"/>
        <v>#REF!</v>
      </c>
      <c r="DO59" t="e">
        <f t="shared" si="48"/>
        <v>#REF!</v>
      </c>
      <c r="DP59" t="e">
        <f t="shared" si="48"/>
        <v>#REF!</v>
      </c>
      <c r="DQ59" t="e">
        <f t="shared" si="48"/>
        <v>#REF!</v>
      </c>
      <c r="DR59" t="e">
        <f t="shared" si="48"/>
        <v>#REF!</v>
      </c>
      <c r="DS59" t="e">
        <f t="shared" si="48"/>
        <v>#REF!</v>
      </c>
      <c r="DT59" t="e">
        <f t="shared" si="48"/>
        <v>#REF!</v>
      </c>
      <c r="DU59" t="e">
        <f t="shared" si="48"/>
        <v>#REF!</v>
      </c>
      <c r="DV59" t="e">
        <f t="shared" si="48"/>
        <v>#REF!</v>
      </c>
      <c r="DW59" t="e">
        <f t="shared" si="48"/>
        <v>#REF!</v>
      </c>
      <c r="DX59" t="e">
        <f t="shared" si="48"/>
        <v>#REF!</v>
      </c>
    </row>
    <row r="60" spans="1:128" x14ac:dyDescent="0.3">
      <c r="A60" s="423" t="str">
        <f t="shared" si="49"/>
        <v>120B</v>
      </c>
      <c r="B60" t="str">
        <f t="shared" si="50"/>
        <v>2_Dirección Administrativa y Financiera</v>
      </c>
      <c r="C60">
        <f t="shared" si="8"/>
        <v>2</v>
      </c>
      <c r="D60" t="str">
        <f t="shared" si="0"/>
        <v>Dirección Administrativa y Financiera</v>
      </c>
      <c r="E60" t="str">
        <f t="shared" si="51"/>
        <v>daf</v>
      </c>
      <c r="F60" s="207" t="str">
        <f>Corporativa!D14</f>
        <v>120B</v>
      </c>
      <c r="G60" t="str">
        <f t="shared" ref="G60:J69" si="52">+IFERROR(VLOOKUP($F60,bd,MATCH(G$5,bdfila,0),0),"")</f>
        <v>Creciente</v>
      </c>
      <c r="H60" t="str">
        <f t="shared" si="52"/>
        <v>Porcentaje</v>
      </c>
      <c r="I60">
        <f t="shared" si="52"/>
        <v>1</v>
      </c>
      <c r="J60">
        <f t="shared" si="52"/>
        <v>1</v>
      </c>
      <c r="K60" t="str">
        <f>+IFERROR(VLOOKUP($F60,Corporativa_1,MATCH(K$5,Corporativa!$D$9:$V$9,0),0),"")</f>
        <v>Suma</v>
      </c>
      <c r="L60">
        <f>+IFERROR(VLOOKUP($F60,Corporativa_1,MATCH(L$5,Corporativa!$D$9:$V$9,0),0),"")</f>
        <v>46.28</v>
      </c>
      <c r="M60">
        <f t="shared" si="40"/>
        <v>20.75</v>
      </c>
      <c r="N60">
        <f>+IFERROR(VLOOKUP($F60,Corporativa_1,MATCH(N$5,Corporativa!$D$9:$V$9,0),0),"")</f>
        <v>5.62</v>
      </c>
      <c r="O60">
        <f>+IFERROR(VLOOKUP($F60,Corporativa_1,MATCH(O$5,Corporativa!$D$9:$V$9,0),0),"")</f>
        <v>8.64</v>
      </c>
      <c r="P60">
        <f>+IFERROR(VLOOKUP($F60,Corporativa_1,MATCH(P$5,Corporativa!$D$9:$V$9,0),0),"")</f>
        <v>6.49</v>
      </c>
      <c r="Q60">
        <f>+IFERROR(VLOOKUP($F60,Corporativa_1,MATCH(Q$5,Corporativa!$D$9:$V$9,0),0),"")</f>
        <v>8.2200000000000006</v>
      </c>
      <c r="R60">
        <f>+IFERROR(VLOOKUP($F60,Corporativa_1,MATCH(R$5,Corporativa!$D$9:$V$9,0),0),"")</f>
        <v>7.34</v>
      </c>
      <c r="S60">
        <f>+IFERROR(VLOOKUP($F60,Corporativa_1,MATCH(S$5,Corporativa!$D$9:$V$9,0),0),"")</f>
        <v>9.9700000000000006</v>
      </c>
      <c r="T60">
        <f>+IFERROR(VLOOKUP($F60,Corporativa_1,MATCH(T$5,Corporativa!$D$9:$V$9,0),0),"")</f>
        <v>100</v>
      </c>
      <c r="U60" t="str">
        <f>+IFERROR(VLOOKUP($F60,Corporativa_1,MATCH(U$5,Corporativa!$D$9:$V$9,0),0),"")</f>
        <v>Este indicador mide la ejecución de los programas para el cumplimiento del plan de acción aprobado por el Comité de Gestión Ambiental de la Secretaría General en concordancia a lo establecido por la Secretaría de Ambiente.</v>
      </c>
      <c r="V60" t="str">
        <f>+IFERROR(VLOOKUP($F60,Corporativa_1,MATCH(V$5,Corporativa!$D$9:$V$9,0),0),"")</f>
        <v>• Planear, ejecutar y hacer seguimiento al Plan de acción establecido para la Secretaría General</v>
      </c>
      <c r="W60" t="str">
        <f>+IFERROR(VLOOKUP($F60,Corporativa_1,MATCH(W$5,Corporativa!$D$9:$V$9,0),0),"")</f>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
      <c r="X60" t="str">
        <f>+IFERROR(VLOOKUP($F60,Corporativa_1,MATCH(X$5,Corporativa!$D$9:$V$9,0),0),"")</f>
        <v xml:space="preserve">Cronograma de plan de acción del PIGA de la Vigencia, registros fílmicos,  fotográficos y evidencias de reunión y actividades realizadas. </v>
      </c>
      <c r="Y60">
        <f>+IFERROR(IF(ISBLANK(VLOOKUP(CONCATENATE($F60,"_",Y$4),Corporativa_2,MATCH(Y$3,Corporativa!$F$27:$O$27,0),0)),"",VLOOKUP(CONCATENATE($F60,"_",Y$4),Corporativa_2,MATCH(Y$3,Corporativa!$F$27:$O$27,0),0)),"")</f>
        <v>5.62</v>
      </c>
      <c r="Z60">
        <f>+IFERROR(IF(ISBLANK(VLOOKUP(CONCATENATE($F60,"_",Z$4),Corporativa_2,MATCH(Z$3,Corporativa!$F$27:$O$27,0),0)),"",VLOOKUP(CONCATENATE($F60,"_",Z$4),Corporativa_2,MATCH(Z$3,Corporativa!$F$27:$O$27,0),0)),"")</f>
        <v>5.62</v>
      </c>
      <c r="AA60" t="str">
        <f>+IFERROR(IF(ISBLANK(VLOOKUP(CONCATENATE($F60,"_",AA$4),Corporativa_2,MATCH(AA$3,Corporativa!$F$27:$O$27,0),0)),"",VLOOKUP(CONCATENATE($F60,"_",AA$4),Corporativa_2,MATCH(AA$3,Corporativa!$F$27:$O$27,0),0)),"")</f>
        <v xml:space="preserve">Se realizaron campañas de sensibilización para los diferentes programas establecidos en el tema Ambiental (energía, residuos, prácticas  sostenibles)
Se actualizó el seguimiento del consumo general y per cápita de los diferentes programas establecidos en el tema Ambiental (energía) en las sedes concertadas  con el fin de presentar los resultados en la mesa técnica en Gestión Ambiental.
Se promovieron diferentes actividades para los programas establecidos en el tema Ambiental (Agua, energía, residuos, prácticas  sostenibles) en las sedes concertadas
Se reportó  a la Secretaria Distrital de Ambiente, los avances relacionados a la implementación del PIGA y a la Unidad Administrativa Especial de Servicios Públicos UAESP- el aprovechamiento de residuos. I Trimestre </v>
      </c>
      <c r="AB60" t="str">
        <f>+IFERROR(IF(ISBLANK(VLOOKUP(CONCATENATE($F60,"_",AB$4),Corporativa_2,MATCH(AB$3,Corporativa!$F$27:$O$27,0),0)),"",VLOOKUP(CONCATENATE($F60,"_",AB$4),Corporativa_2,MATCH(AB$3,Corporativa!$F$27:$O$27,0),0)),"")</f>
        <v>N.A</v>
      </c>
      <c r="AC60" t="str">
        <f>+IFERROR(IF(ISBLANK(VLOOKUP(CONCATENATE($F60,"_",AC$4),Corporativa_2,MATCH(AC$3,Corporativa!$F$27:$O$27,0),0)),"",VLOOKUP(CONCATENATE($F60,"_",AC$4),Corporativa_2,MATCH(AC$3,Corporativa!$F$27:$O$27,0),0)),"")</f>
        <v xml:space="preserve">Servidores públicos sensibilizados en los diferentes programas establecidos en el tema Ambiental (energía, residuos, prácticas  sostenibles)
Seguimientos de consumo general y per cápita de los diferentes programas establecidos en el tema Ambiental (energía, ) 
Verificación del cumplimiento de  diferentes programas establecidos en el tema Ambiental (Agua, energía, residuos, prácticas y consumos sostenibles) entre otros 
Ejecución de las diferentes actividades establecidas en los programas Ambientales (Agua, energía, residuos, prácticas y consumos sostenibles) en las sedes concertadas 
Cumplimiento de reportes a entidades externas </v>
      </c>
      <c r="AD60">
        <f>+IFERROR(IF(ISBLANK(VLOOKUP(CONCATENATE($F60,"_",AD$4),Corporativa_2,MATCH(AD$3,Corporativa!$F$27:$O$27,0),0)),"",VLOOKUP(CONCATENATE($F60,"_",AD$4),Corporativa_2,MATCH(AD$3,Corporativa!$F$27:$O$27,0),0)),"")</f>
        <v>8.64</v>
      </c>
      <c r="AE60">
        <f>+IFERROR(IF(ISBLANK(VLOOKUP(CONCATENATE($F60,"_",AE$4),Corporativa_2,MATCH(AE$3,Corporativa!$F$27:$O$27,0),0)),"",VLOOKUP(CONCATENATE($F60,"_",AE$4),Corporativa_2,MATCH(AE$3,Corporativa!$F$27:$O$27,0),0)),"")</f>
        <v>8.64</v>
      </c>
      <c r="AF60" t="str">
        <f>+IFERROR(IF(ISBLANK(VLOOKUP(CONCATENATE($F60,"_",AF$4),Corporativa_2,MATCH(AF$3,Corporativa!$F$27:$O$27,0),0)),"",VLOOKUP(CONCATENATE($F60,"_",AF$4),Corporativa_2,MATCH(AF$3,Corporativa!$F$27:$O$27,0),0)),"")</f>
        <v xml:space="preserve">Se realizaron campañas de sensibilización para los diferentes programas establecidos en el tema Ambiental (Agua, energía, residuos, prácticas  sostenibles)
Se actualizó el seguimiento del consumo general y per cápita de los diferentes programas establecidos en el tema Ambiental (Agua, energía) en las sedes concertadas  con el fin de presentar los resultados en la mesa técnica en Gestión Ambiental.
Se presentó a la mesa técnica de apoyo en Gestión Ambiental el reporte de revisión  de los diferentes temas ambientales esto con el fin de evaluar el cumplimiento de estos.
Se promovieron diferentes actividades para los programas establecidos en el tema Ambiental (Agua, energía, residuos, prácticas sostenibles) en las sedes concertadas </v>
      </c>
      <c r="AG60" t="str">
        <f>+IFERROR(IF(ISBLANK(VLOOKUP(CONCATENATE($F60,"_",AG$4),Corporativa_2,MATCH(AG$3,Corporativa!$F$27:$O$27,0),0)),"",VLOOKUP(CONCATENATE($F60,"_",AG$4),Corporativa_2,MATCH(AG$3,Corporativa!$F$27:$O$27,0),0)),"")</f>
        <v>N.A</v>
      </c>
      <c r="AH60" t="str">
        <f>+IFERROR(IF(ISBLANK(VLOOKUP(CONCATENATE($F60,"_",AH$4),Corporativa_2,MATCH(AH$3,Corporativa!$F$27:$O$27,0),0)),"",VLOOKUP(CONCATENATE($F60,"_",AH$4),Corporativa_2,MATCH(AH$3,Corporativa!$F$27:$O$27,0),0)),"")</f>
        <v xml:space="preserve">Servidores públicos sensibilizados en los diferentes programas establecidos en el tema Ambiental (Agua, energía, residuos, prácticas sostenibles)
Seguimientos de consumo general y per cápita de los diferentes programas establecidos en el tema Ambiental (Agua, energía) actualizados y presentados en la mesa técnica en Gestión Ambiental.
Verificación del cumplimiento de  diferentes programas establecidos en el tema Ambiental (Agua, energía, residuos, prácticas y consumos sostenibles) entre otros en la mesa técnica
Ejecución de las diferentes actividades establecidas en los programas Ambientales (Agua, energía, residuos, prácticas sostenibles) en las sedes concertadas </v>
      </c>
      <c r="AI60">
        <f>+IFERROR(IF(ISBLANK(VLOOKUP(CONCATENATE($F60,"_",AI$4),Corporativa_2,MATCH(AI$3,Corporativa!$F$27:$O$27,0),0)),"",VLOOKUP(CONCATENATE($F60,"_",AI$4),Corporativa_2,MATCH(AI$3,Corporativa!$F$27:$O$27,0),0)),"")</f>
        <v>6.49</v>
      </c>
      <c r="AJ60">
        <f>+IFERROR(IF(ISBLANK(VLOOKUP(CONCATENATE($F60,"_",AJ$4),Corporativa_2,MATCH(AJ$3,Corporativa!$F$27:$O$27,0),0)),"",VLOOKUP(CONCATENATE($F60,"_",AJ$4),Corporativa_2,MATCH(AJ$3,Corporativa!$F$27:$O$27,0),0)),"")</f>
        <v>6.49</v>
      </c>
      <c r="AK60" t="str">
        <f>+IFERROR(IF(ISBLANK(VLOOKUP(CONCATENATE($F60,"_",AK$4),Corporativa_2,MATCH(AK$3,Corporativa!$F$27:$O$27,0),0)),"",VLOOKUP(CONCATENATE($F60,"_",AK$4),Corporativa_2,MATCH(AK$3,Corporativa!$F$27:$O$27,0),0)),"")</f>
        <v xml:space="preserve">Se realizaron campañas de sensibilización para los diferentes programas establecidos en el tema Ambiental (Agua, energía, residuos, prácticas y consumos sostenibles)
Se actualizó el seguimiento del consumo general y per cápita de los diferentes programas establecidos en el tema Ambiental (energía) en las sedes concertadas  con el fin de presentar los resultados en la mesa técnica en Gestión Ambiental.
Se presentó al equipo de Compras Públicas Sostenibles ante la Secretaría General en función de la verificación del cumplimiento de la guía CPS planteada por Minambiente 
Se promovieron diferentes actividades para los programas establecidos en el tema Ambiental (Agua, energía, residuos, prácticas y consumos sostenibles) en las sedes concertadas </v>
      </c>
      <c r="AL60" t="str">
        <f>+IFERROR(IF(ISBLANK(VLOOKUP(CONCATENATE($F60,"_",AL$4),Corporativa_2,MATCH(AL$3,Corporativa!$F$27:$O$27,0),0)),"",VLOOKUP(CONCATENATE($F60,"_",AL$4),Corporativa_2,MATCH(AL$3,Corporativa!$F$27:$O$27,0),0)),"")</f>
        <v>N.A</v>
      </c>
      <c r="AM60" t="str">
        <f>+IFERROR(IF(ISBLANK(VLOOKUP(CONCATENATE($F60,"_",AM$4),Corporativa_2,MATCH(AM$3,Corporativa!$F$27:$O$27,0),0)),"",VLOOKUP(CONCATENATE($F60,"_",AM$4),Corporativa_2,MATCH(AM$3,Corporativa!$F$27:$O$27,0),0)),"")</f>
        <v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(energía) 
Verificación del cumplimiento de  la guía CPS planteada por Minambiente  
Ejecución de las diferentes actividades establecidas en los programas Ambientales (Agua, energía, residuos, prácticas y consumos sostenibles) en las sedes concertadas </v>
      </c>
      <c r="AN60">
        <f>+IFERROR(IF(ISBLANK(VLOOKUP(CONCATENATE($F60,"_",AN$4),Corporativa_2,MATCH(AN$3,Corporativa!$F$27:$O$27,0),0)),"",VLOOKUP(CONCATENATE($F60,"_",AN$4),Corporativa_2,MATCH(AN$3,Corporativa!$F$27:$O$27,0),0)),"")</f>
        <v>8.2200000000000006</v>
      </c>
      <c r="AO60">
        <f>+IFERROR(IF(ISBLANK(VLOOKUP(CONCATENATE($F60,"_",AO$4),Corporativa_2,MATCH(AO$3,Corporativa!$F$27:$O$27,0),0)),"",VLOOKUP(CONCATENATE($F60,"_",AO$4),Corporativa_2,MATCH(AO$3,Corporativa!$F$27:$O$27,0),0)),"")</f>
        <v>8.2200000000000006</v>
      </c>
      <c r="AP60" t="str">
        <f>+IFERROR(IF(ISBLANK(VLOOKUP(CONCATENATE($F60,"_",AP$4),Corporativa_2,MATCH(AP$3,Corporativa!$F$27:$O$27,0),0)),"",VLOOKUP(CONCATENATE($F60,"_",AP$4),Corporativa_2,MATCH(AP$3,Corporativa!$F$27:$O$27,0),0)),"")</f>
        <v xml:space="preserve">Se realizaron campañas de sensibilización para los diferentes programas establecidos en el tema Ambiental (Agua, energía, residuos, prácticas   sostenibles)
Se actualizó el seguimiento del consumo general y per cápita de los diferentes programas establecidos en el tema Ambiental (Agua, energía) en las sedes concertadas  con el fin de presentar los resultados en la mesa técnica en Gestión Ambiental.
Se reportó  a la Unidad Administrativa Especial de Servicios Públicos UAESP- el aprovechamiento de residuos. I Trimestre .
Se promovieron diferentes actividades para los programas establecidos en el tema Ambiental (Agua, energía, residuos, prácticas y consumos sostenibles) en las sedes concertadas 
</v>
      </c>
      <c r="AQ60" t="str">
        <f>+IFERROR(IF(ISBLANK(VLOOKUP(CONCATENATE($F60,"_",AQ$4),Corporativa_2,MATCH(AQ$3,Corporativa!$F$27:$O$27,0),0)),"",VLOOKUP(CONCATENATE($F60,"_",AQ$4),Corporativa_2,MATCH(AQ$3,Corporativa!$F$27:$O$27,0),0)),"")</f>
        <v>N.A</v>
      </c>
      <c r="AR60" t="str">
        <f>+IFERROR(IF(ISBLANK(VLOOKUP(CONCATENATE($F60,"_",AR$4),Corporativa_2,MATCH(AR$3,Corporativa!$F$27:$O$27,0),0)),"",VLOOKUP(CONCATENATE($F60,"_",AR$4),Corporativa_2,MATCH(AR$3,Corporativa!$F$27:$O$27,0),0)),"")</f>
        <v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(Agua, energía)
Verificación del cumplimiento de  diferentes programas establecidos en el tema Ambiental (Agua, energía, residuos, prácticas y consumos sostenibles) entre otros en la mesa técnica
Cumplimiento de reportes a entidades externas 
Ejecución de las diferentes actividades establecidas en los programas Ambientales (Agua, energía, residuos, prácticas y consumos sostenibles) en las sedes concertadas 
</v>
      </c>
      <c r="AS60">
        <f>+IFERROR(IF(ISBLANK(VLOOKUP(CONCATENATE($F60,"_",AS$4),Corporativa_2,MATCH(AS$3,Corporativa!$F$27:$O$27,0),0)),"",VLOOKUP(CONCATENATE($F60,"_",AS$4),Corporativa_2,MATCH(AS$3,Corporativa!$F$27:$O$27,0),0)),"")</f>
        <v>7.34</v>
      </c>
      <c r="AT60">
        <f>+IFERROR(IF(ISBLANK(VLOOKUP(CONCATENATE($F60,"_",AT$4),Corporativa_2,MATCH(AT$3,Corporativa!$F$27:$O$27,0),0)),"",VLOOKUP(CONCATENATE($F60,"_",AT$4),Corporativa_2,MATCH(AT$3,Corporativa!$F$27:$O$27,0),0)),"")</f>
        <v>7.34</v>
      </c>
      <c r="AU60" t="str">
        <f>+IFERROR(IF(ISBLANK(VLOOKUP(CONCATENATE($F60,"_",AU$4),Corporativa_2,MATCH(AU$3,Corporativa!$F$27:$O$27,0),0)),"",VLOOKUP(CONCATENATE($F60,"_",AU$4),Corporativa_2,MATCH(AU$3,Corporativa!$F$27:$O$27,0),0)),"")</f>
        <v xml:space="preserve">Se realizaron campañas de sensibilización para los diferentes programas establecidos en el tema Ambiental (Agua, energía, residuos, prácticas y consumos sostenibles)
Se actualizó el seguimiento del consumo general y per cápita de los diferentes programas establecidos en el tema Ambiental (energía) en las sedes concertadas  con el fin de presentar los resultados en la mesa técnica en Gestión Ambiental.
Se presentó a la mesa técnica de apoyo en Gestión Ambiental el reporte de revisión  de los diferentes temas ambientales esto con el fin de evaluar el cumplimiento de estos.
Se promovieron diferentes actividades para los programas establecidos en el tema Ambiental (Agua, energía, residuos, prácticas y consumos sostenibles) en las sedes concertadas </v>
      </c>
      <c r="AV60" t="str">
        <f>+IFERROR(IF(ISBLANK(VLOOKUP(CONCATENATE($F60,"_",AV$4),Corporativa_2,MATCH(AV$3,Corporativa!$F$27:$O$27,0),0)),"",VLOOKUP(CONCATENATE($F60,"_",AV$4),Corporativa_2,MATCH(AV$3,Corporativa!$F$27:$O$27,0),0)),"")</f>
        <v>N.A</v>
      </c>
      <c r="AW60" t="str">
        <f>+IFERROR(IF(ISBLANK(VLOOKUP(CONCATENATE($F60,"_",AW$4),Corporativa_2,MATCH(AW$3,Corporativa!$F$27:$O$27,0),0)),"",VLOOKUP(CONCATENATE($F60,"_",AW$4),Corporativa_2,MATCH(AW$3,Corporativa!$F$27:$O$27,0),0)),"")</f>
        <v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(energía) actualizados y presentados en la mesa técnica en Gestión Ambiental.
Verificación del cumplimiento de  diferentes programas establecidos en el tema Ambiental (Agua, energía, residuos, prácticas y consumos sostenibles) entre otros en la mesa técnica
Ejecución de las diferentes actividades establecidas en los programas Ambientales (Agua, energía, residuos, prácticas y consumos sostenibles) en las sedes concertadas </v>
      </c>
      <c r="AX60">
        <f>+IFERROR(IF(ISBLANK(VLOOKUP(CONCATENATE($F60,"_",AX$4),Corporativa_2,MATCH(AX$3,Corporativa!$F$27:$O$27,0),0)),"",VLOOKUP(CONCATENATE($F60,"_",AX$4),Corporativa_2,MATCH(AX$3,Corporativa!$F$27:$O$27,0),0)),"")</f>
        <v>9.9700000000000006</v>
      </c>
      <c r="AY60">
        <f>+IFERROR(IF(ISBLANK(VLOOKUP(CONCATENATE($F60,"_",AY$4),Corporativa_2,MATCH(AY$3,Corporativa!$F$27:$O$27,0),0)),"",VLOOKUP(CONCATENATE($F60,"_",AY$4),Corporativa_2,MATCH(AY$3,Corporativa!$F$27:$O$27,0),0)),"")</f>
        <v>9.9700000000000006</v>
      </c>
      <c r="AZ60" t="str">
        <f>+IFERROR(IF(ISBLANK(VLOOKUP(CONCATENATE($F60,"_",AZ$4),Corporativa_2,MATCH(AZ$3,Corporativa!$F$27:$O$27,0),0)),"",VLOOKUP(CONCATENATE($F60,"_",AZ$4),Corporativa_2,MATCH(AZ$3,Corporativa!$F$27:$O$27,0),0)),"")</f>
        <v>Se realizaron campañas de sensibilización para los diferentes programas establecidos en el tema Ambiental (Agua, energía, residuos)_x000D_
Se actualizó el seguimiento del consumo general y per cápita de los diferentes programas establecidos en el tema Ambiental (agua  y energía) en las sedes concertadas  con el fin de presentar los resultados en la mesa técnica en Gestión Ambiental._x000D_
Se desarrolló la semana ambiental virtual de la Entidad_x000D_
Se desarrolló la propuesta de política cero papel, la mesa trimestral de compras públcias sostenibles y las actividades de movilidad sostenible. Se promovió la gestión integral de residuos aprovechables y peligrosos y la entrega de los mismos asociación y gestor autorizado</v>
      </c>
      <c r="BA60" t="str">
        <f>+IFERROR(IF(ISBLANK(VLOOKUP(CONCATENATE($F60,"_",BA$4),Corporativa_2,MATCH(BA$3,Corporativa!$F$27:$O$27,0),0)),"",VLOOKUP(CONCATENATE($F60,"_",BA$4),Corporativa_2,MATCH(BA$3,Corporativa!$F$27:$O$27,0),0)),"")</f>
        <v>N.A</v>
      </c>
      <c r="BB60" t="str">
        <f>+IFERROR(IF(ISBLANK(VLOOKUP(CONCATENATE($F60,"_",BB$4),Corporativa_2,MATCH(BB$3,Corporativa!$F$27:$O$27,0),0)),"",VLOOKUP(CONCATENATE($F60,"_",BB$4),Corporativa_2,MATCH(BB$3,Corporativa!$F$27:$O$27,0),0)),"")</f>
        <v xml:space="preserve">Servidores públicos sensibilizados en los diferentes programas establecidos en el tema Ambiental (Agua, energía, residuos, prácticas y consumos sostenibles)_x000D_
Seguimientos de consumo general y per cápita de los diferentes programas establecidos en el tema Ambiental (energía y agua)_x000D_
Verificación del cumplimiento de  diferentes programas establecidos en el tema Ambiental (Agua, energía, residuos, prácticas y consumos sostenibles) entre otros_x000D_
Ejecución de las diferentes actividades establecidas en los programas Ambientales (Agua, energía, residuos, prácticas y consumos sostenibles) </v>
      </c>
      <c r="BC60">
        <f t="shared" si="10"/>
        <v>46.28</v>
      </c>
      <c r="BD60">
        <f t="shared" si="10"/>
        <v>46.28</v>
      </c>
      <c r="CI60" t="str">
        <f t="shared" si="45"/>
        <v>Cumple</v>
      </c>
      <c r="CJ60" t="str">
        <f t="shared" si="45"/>
        <v>Cumplido</v>
      </c>
      <c r="CK60" t="str">
        <f t="shared" si="45"/>
        <v>Adecuado</v>
      </c>
      <c r="CL60" t="str">
        <f t="shared" si="45"/>
        <v>Coherente</v>
      </c>
      <c r="CM60" t="str">
        <f t="shared" si="45"/>
        <v>Difiere</v>
      </c>
      <c r="CN60" t="str">
        <f t="shared" si="45"/>
        <v>Concuerda</v>
      </c>
      <c r="CO60" t="str">
        <f t="shared" si="45"/>
        <v>No aplica</v>
      </c>
      <c r="CP60" t="str">
        <f t="shared" si="45"/>
        <v>Adecuado</v>
      </c>
      <c r="CQ60" t="str">
        <f t="shared" si="45"/>
        <v>Oportuna</v>
      </c>
      <c r="CR60" t="str">
        <f t="shared" si="45"/>
        <v xml:space="preserve">Se sugiere que en el reporte cualitativo se relacione y especifique el avance en los programas, de manera que se pueda verificar repecto a las evidencias aportadas en el periodo. </v>
      </c>
      <c r="CS60" t="str">
        <f t="shared" si="46"/>
        <v>Sandra Patricia Ortiz Barrera</v>
      </c>
      <c r="CT60" t="str">
        <f t="shared" si="46"/>
        <v>Cumple</v>
      </c>
      <c r="CU60" t="str">
        <f t="shared" si="46"/>
        <v>Cumplido</v>
      </c>
      <c r="CV60" t="str">
        <f t="shared" si="46"/>
        <v>Adecuado</v>
      </c>
      <c r="CW60" t="str">
        <f t="shared" si="46"/>
        <v>Coherente</v>
      </c>
      <c r="CX60" t="str">
        <f t="shared" si="46"/>
        <v>Concuerda</v>
      </c>
      <c r="CY60" t="str">
        <f t="shared" si="46"/>
        <v>Concuerda</v>
      </c>
      <c r="CZ60" t="str">
        <f t="shared" si="46"/>
        <v>No aplica</v>
      </c>
      <c r="DA60" t="str">
        <f t="shared" si="46"/>
        <v>Adecuado</v>
      </c>
      <c r="DB60" t="str">
        <f t="shared" si="46"/>
        <v>Oportuna</v>
      </c>
      <c r="DC60" t="str">
        <f t="shared" si="47"/>
        <v>El reporte del indicador es adecuado en términos de coherencia y consistencia. El indicador presenta un cumplimiento del 100%</v>
      </c>
      <c r="DD60">
        <f t="shared" si="47"/>
        <v>0</v>
      </c>
      <c r="DE60" t="e">
        <f t="shared" si="47"/>
        <v>#REF!</v>
      </c>
      <c r="DF60" t="e">
        <f t="shared" si="47"/>
        <v>#REF!</v>
      </c>
      <c r="DG60" t="e">
        <f t="shared" si="47"/>
        <v>#REF!</v>
      </c>
      <c r="DH60" t="e">
        <f t="shared" si="47"/>
        <v>#REF!</v>
      </c>
      <c r="DI60" t="e">
        <f t="shared" si="47"/>
        <v>#REF!</v>
      </c>
      <c r="DJ60" t="e">
        <f t="shared" si="47"/>
        <v>#REF!</v>
      </c>
      <c r="DK60" t="e">
        <f t="shared" si="47"/>
        <v>#REF!</v>
      </c>
      <c r="DL60" t="e">
        <f t="shared" si="47"/>
        <v>#REF!</v>
      </c>
      <c r="DM60" t="e">
        <f t="shared" si="48"/>
        <v>#REF!</v>
      </c>
      <c r="DN60" t="e">
        <f t="shared" si="48"/>
        <v>#REF!</v>
      </c>
      <c r="DO60" t="e">
        <f t="shared" si="48"/>
        <v>#REF!</v>
      </c>
      <c r="DP60" t="e">
        <f t="shared" si="48"/>
        <v>#REF!</v>
      </c>
      <c r="DQ60" t="e">
        <f t="shared" si="48"/>
        <v>#REF!</v>
      </c>
      <c r="DR60" t="e">
        <f t="shared" si="48"/>
        <v>#REF!</v>
      </c>
      <c r="DS60" t="e">
        <f t="shared" si="48"/>
        <v>#REF!</v>
      </c>
      <c r="DT60" t="e">
        <f t="shared" si="48"/>
        <v>#REF!</v>
      </c>
      <c r="DU60" t="e">
        <f t="shared" si="48"/>
        <v>#REF!</v>
      </c>
      <c r="DV60" t="e">
        <f t="shared" si="48"/>
        <v>#REF!</v>
      </c>
      <c r="DW60" t="e">
        <f t="shared" si="48"/>
        <v>#REF!</v>
      </c>
      <c r="DX60" t="e">
        <f t="shared" si="48"/>
        <v>#REF!</v>
      </c>
    </row>
    <row r="61" spans="1:128" x14ac:dyDescent="0.3">
      <c r="A61" s="423">
        <f t="shared" si="49"/>
        <v>130</v>
      </c>
      <c r="B61" t="str">
        <f t="shared" si="50"/>
        <v>1_Subdirección de Servicios Administrativos</v>
      </c>
      <c r="C61">
        <f t="shared" si="8"/>
        <v>1</v>
      </c>
      <c r="D61" t="str">
        <f t="shared" si="0"/>
        <v>Subdirección de Servicios Administrativos</v>
      </c>
      <c r="E61" t="str">
        <f t="shared" si="51"/>
        <v>ssa</v>
      </c>
      <c r="F61" s="207">
        <f>Corporativa!D15</f>
        <v>130</v>
      </c>
      <c r="G61" t="str">
        <f t="shared" si="52"/>
        <v>Constante</v>
      </c>
      <c r="H61" t="str">
        <f t="shared" si="52"/>
        <v>Porcentaje</v>
      </c>
      <c r="I61">
        <f t="shared" si="52"/>
        <v>0.95</v>
      </c>
      <c r="J61">
        <f t="shared" si="52"/>
        <v>0.95</v>
      </c>
      <c r="K61" t="str">
        <f>+IFERROR(VLOOKUP($F61,Corporativa_1,MATCH(K$5,Corporativa!$D$9:$V$9,0),0),"")</f>
        <v>Constante</v>
      </c>
      <c r="L61" t="str">
        <f>+IFERROR(VLOOKUP($F61,Corporativa_1,MATCH(L$5,Corporativa!$D$9:$V$9,0),0),"")</f>
        <v/>
      </c>
      <c r="M61">
        <f t="shared" si="40"/>
        <v>285</v>
      </c>
      <c r="N61">
        <f>+IFERROR(VLOOKUP($F61,Corporativa_1,MATCH(N$5,Corporativa!$D$9:$V$9,0),0),"")</f>
        <v>95</v>
      </c>
      <c r="O61">
        <f>+IFERROR(VLOOKUP($F61,Corporativa_1,MATCH(O$5,Corporativa!$D$9:$V$9,0),0),"")</f>
        <v>95</v>
      </c>
      <c r="P61">
        <f>+IFERROR(VLOOKUP($F61,Corporativa_1,MATCH(P$5,Corporativa!$D$9:$V$9,0),0),"")</f>
        <v>95</v>
      </c>
      <c r="Q61">
        <f>+IFERROR(VLOOKUP($F61,Corporativa_1,MATCH(Q$5,Corporativa!$D$9:$V$9,0),0),"")</f>
        <v>95</v>
      </c>
      <c r="R61">
        <f>+IFERROR(VLOOKUP($F61,Corporativa_1,MATCH(R$5,Corporativa!$D$9:$V$9,0),0),"")</f>
        <v>95</v>
      </c>
      <c r="S61">
        <f>+IFERROR(VLOOKUP($F61,Corporativa_1,MATCH(S$5,Corporativa!$D$9:$V$9,0),0),"")</f>
        <v>95</v>
      </c>
      <c r="T61">
        <f>+IFERROR(VLOOKUP($F61,Corporativa_1,MATCH(T$5,Corporativa!$D$9:$V$9,0),0),"")</f>
        <v>95</v>
      </c>
      <c r="U61" t="str">
        <f>+IFERROR(VLOOKUP($F61,Corporativa_1,MATCH(U$5,Corporativa!$D$9:$V$9,0),0),"")</f>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
      <c r="V61" t="str">
        <f>+IFERROR(VLOOKUP($F61,Corporativa_1,MATCH(V$5,Corporativa!$D$9:$V$9,0),0),"")</f>
        <v xml:space="preserve">• Realizar actividades necesarias para la prestación de los servicios administrativos y generales a satisfacción </v>
      </c>
      <c r="W61" t="str">
        <f>+IFERROR(VLOOKUP($F61,Corporativa_1,MATCH(W$5,Corporativa!$D$9:$V$9,0),0),"")</f>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
      <c r="X61" t="str">
        <f>+IFERROR(VLOOKUP($F61,Corporativa_1,MATCH(X$5,Corporativa!$D$9:$V$9,0),0),"")</f>
        <v>* Informe con las Estadisticas del Sistema de Servicios Administrativos</v>
      </c>
      <c r="Y61">
        <f>+IFERROR(IF(ISBLANK(VLOOKUP(CONCATENATE($F61,"_",Y$4),Corporativa_2,MATCH(Y$3,Corporativa!$F$27:$O$27,0),0)),"",VLOOKUP(CONCATENATE($F61,"_",Y$4),Corporativa_2,MATCH(Y$3,Corporativa!$F$27:$O$27,0),0)),"")</f>
        <v>107</v>
      </c>
      <c r="Z61">
        <f>+IFERROR(IF(ISBLANK(VLOOKUP(CONCATENATE($F61,"_",Z$4),Corporativa_2,MATCH(Z$3,Corporativa!$F$27:$O$27,0),0)),"",VLOOKUP(CONCATENATE($F61,"_",Z$4),Corporativa_2,MATCH(Z$3,Corporativa!$F$27:$O$27,0),0)),"")</f>
        <v>107</v>
      </c>
      <c r="AA61" t="str">
        <f>+IFERROR(IF(ISBLANK(VLOOKUP(CONCATENATE($F61,"_",AA$4),Corporativa_2,MATCH(AA$3,Corporativa!$F$27:$O$27,0),0)),"",VLOOKUP(CONCATENATE($F61,"_",AA$4),Corporativa_2,MATCH(AA$3,Corporativa!$F$27:$O$27,0),0)),"")</f>
        <v>Se contó con el 100% de las evaluaciones calificadas, no se presentaron reclamaciones a los servicios prestados</v>
      </c>
      <c r="AB61" t="str">
        <f>+IFERROR(IF(ISBLANK(VLOOKUP(CONCATENATE($F61,"_",AB$4),Corporativa_2,MATCH(AB$3,Corporativa!$F$27:$O$27,0),0)),"",VLOOKUP(CONCATENATE($F61,"_",AB$4),Corporativa_2,MATCH(AB$3,Corporativa!$F$27:$O$27,0),0)),"")</f>
        <v>N.A</v>
      </c>
      <c r="AC61" t="str">
        <f>+IFERROR(IF(ISBLANK(VLOOKUP(CONCATENATE($F61,"_",AC$4),Corporativa_2,MATCH(AC$3,Corporativa!$F$27:$O$27,0),0)),"",VLOOKUP(CONCATENATE($F61,"_",AC$4),Corporativa_2,MATCH(AC$3,Corporativa!$F$27:$O$27,0),0)),"")</f>
        <v>Información adecuada para análisis estadístico</v>
      </c>
      <c r="AD61">
        <f>+IFERROR(IF(ISBLANK(VLOOKUP(CONCATENATE($F61,"_",AD$4),Corporativa_2,MATCH(AD$3,Corporativa!$F$27:$O$27,0),0)),"",VLOOKUP(CONCATENATE($F61,"_",AD$4),Corporativa_2,MATCH(AD$3,Corporativa!$F$27:$O$27,0),0)),"")</f>
        <v>132</v>
      </c>
      <c r="AE61">
        <f>+IFERROR(IF(ISBLANK(VLOOKUP(CONCATENATE($F61,"_",AE$4),Corporativa_2,MATCH(AE$3,Corporativa!$F$27:$O$27,0),0)),"",VLOOKUP(CONCATENATE($F61,"_",AE$4),Corporativa_2,MATCH(AE$3,Corporativa!$F$27:$O$27,0),0)),"")</f>
        <v>132</v>
      </c>
      <c r="AF61" t="str">
        <f>+IFERROR(IF(ISBLANK(VLOOKUP(CONCATENATE($F61,"_",AF$4),Corporativa_2,MATCH(AF$3,Corporativa!$F$27:$O$27,0),0)),"",VLOOKUP(CONCATENATE($F61,"_",AF$4),Corporativa_2,MATCH(AF$3,Corporativa!$F$27:$O$27,0),0)),"")</f>
        <v>Se contó con el 100% de las evaluaciones calificadas, no se presentaron reclamaciones a los servicios prestados</v>
      </c>
      <c r="AG61" t="str">
        <f>+IFERROR(IF(ISBLANK(VLOOKUP(CONCATENATE($F61,"_",AG$4),Corporativa_2,MATCH(AG$3,Corporativa!$F$27:$O$27,0),0)),"",VLOOKUP(CONCATENATE($F61,"_",AG$4),Corporativa_2,MATCH(AG$3,Corporativa!$F$27:$O$27,0),0)),"")</f>
        <v>N.A</v>
      </c>
      <c r="AH61" t="str">
        <f>+IFERROR(IF(ISBLANK(VLOOKUP(CONCATENATE($F61,"_",AH$4),Corporativa_2,MATCH(AH$3,Corporativa!$F$27:$O$27,0),0)),"",VLOOKUP(CONCATENATE($F61,"_",AH$4),Corporativa_2,MATCH(AH$3,Corporativa!$F$27:$O$27,0),0)),"")</f>
        <v>Información adecuada para análisis estadístico</v>
      </c>
      <c r="AI61">
        <f>+IFERROR(IF(ISBLANK(VLOOKUP(CONCATENATE($F61,"_",AI$4),Corporativa_2,MATCH(AI$3,Corporativa!$F$27:$O$27,0),0)),"",VLOOKUP(CONCATENATE($F61,"_",AI$4),Corporativa_2,MATCH(AI$3,Corporativa!$F$27:$O$27,0),0)),"")</f>
        <v>51</v>
      </c>
      <c r="AJ61">
        <f>+IFERROR(IF(ISBLANK(VLOOKUP(CONCATENATE($F61,"_",AJ$4),Corporativa_2,MATCH(AJ$3,Corporativa!$F$27:$O$27,0),0)),"",VLOOKUP(CONCATENATE($F61,"_",AJ$4),Corporativa_2,MATCH(AJ$3,Corporativa!$F$27:$O$27,0),0)),"")</f>
        <v>51</v>
      </c>
      <c r="AK61" t="str">
        <f>+IFERROR(IF(ISBLANK(VLOOKUP(CONCATENATE($F61,"_",AK$4),Corporativa_2,MATCH(AK$3,Corporativa!$F$27:$O$27,0),0)),"",VLOOKUP(CONCATENATE($F61,"_",AK$4),Corporativa_2,MATCH(AK$3,Corporativa!$F$27:$O$27,0),0)),"")</f>
        <v>N/A</v>
      </c>
      <c r="AL61" t="str">
        <f>+IFERROR(IF(ISBLANK(VLOOKUP(CONCATENATE($F61,"_",AL$4),Corporativa_2,MATCH(AL$3,Corporativa!$F$27:$O$27,0),0)),"",VLOOKUP(CONCATENATE($F61,"_",AL$4),Corporativa_2,MATCH(AL$3,Corporativa!$F$27:$O$27,0),0)),"")</f>
        <v xml:space="preserve">Para el mes de marzo se conto con información parcial hasta el 20 de marzo Teniendo en cuenta el aislamiento por el COVID-19, las solicitudes de servicios administrativos se han solicitado por teléfono y correo electrónico. Lo que no ha permitido hacer evaluaciones de los servicios 
</v>
      </c>
      <c r="AM61" t="str">
        <f>+IFERROR(IF(ISBLANK(VLOOKUP(CONCATENATE($F61,"_",AM$4),Corporativa_2,MATCH(AM$3,Corporativa!$F$27:$O$27,0),0)),"",VLOOKUP(CONCATENATE($F61,"_",AM$4),Corporativa_2,MATCH(AM$3,Corporativa!$F$27:$O$27,0),0)),"")</f>
        <v>N/A</v>
      </c>
      <c r="AN61">
        <f>+IFERROR(IF(ISBLANK(VLOOKUP(CONCATENATE($F61,"_",AN$4),Corporativa_2,MATCH(AN$3,Corporativa!$F$27:$O$27,0),0)),"",VLOOKUP(CONCATENATE($F61,"_",AN$4),Corporativa_2,MATCH(AN$3,Corporativa!$F$27:$O$27,0),0)),"")</f>
        <v>146</v>
      </c>
      <c r="AO61">
        <f>+IFERROR(IF(ISBLANK(VLOOKUP(CONCATENATE($F61,"_",AO$4),Corporativa_2,MATCH(AO$3,Corporativa!$F$27:$O$27,0),0)),"",VLOOKUP(CONCATENATE($F61,"_",AO$4),Corporativa_2,MATCH(AO$3,Corporativa!$F$27:$O$27,0),0)),"")</f>
        <v>146</v>
      </c>
      <c r="AP61" t="str">
        <f>+IFERROR(IF(ISBLANK(VLOOKUP(CONCATENATE($F61,"_",AP$4),Corporativa_2,MATCH(AP$3,Corporativa!$F$27:$O$27,0),0)),"",VLOOKUP(CONCATENATE($F61,"_",AP$4),Corporativa_2,MATCH(AP$3,Corporativa!$F$27:$O$27,0),0)),"")</f>
        <v>N/A</v>
      </c>
      <c r="AQ61" t="str">
        <f>+IFERROR(IF(ISBLANK(VLOOKUP(CONCATENATE($F61,"_",AQ$4),Corporativa_2,MATCH(AQ$3,Corporativa!$F$27:$O$27,0),0)),"",VLOOKUP(CONCATENATE($F61,"_",AQ$4),Corporativa_2,MATCH(AQ$3,Corporativa!$F$27:$O$27,0),0)),"")</f>
        <v xml:space="preserve">Teniendo en cuenta el aislamiento por el COVID-19, las solicitudes de servicios administrativos se han solicitado por teléfono y correo electrónico. Lo que no ha permitido hacer evaluaciones de los servicios 
</v>
      </c>
      <c r="AR61" t="str">
        <f>+IFERROR(IF(ISBLANK(VLOOKUP(CONCATENATE($F61,"_",AR$4),Corporativa_2,MATCH(AR$3,Corporativa!$F$27:$O$27,0),0)),"",VLOOKUP(CONCATENATE($F61,"_",AR$4),Corporativa_2,MATCH(AR$3,Corporativa!$F$27:$O$27,0),0)),"")</f>
        <v>N/A</v>
      </c>
      <c r="AS61">
        <f>+IFERROR(IF(ISBLANK(VLOOKUP(CONCATENATE($F61,"_",AS$4),Corporativa_2,MATCH(AS$3,Corporativa!$F$27:$O$27,0),0)),"",VLOOKUP(CONCATENATE($F61,"_",AS$4),Corporativa_2,MATCH(AS$3,Corporativa!$F$27:$O$27,0),0)),"")</f>
        <v>162</v>
      </c>
      <c r="AT61">
        <f>+IFERROR(IF(ISBLANK(VLOOKUP(CONCATENATE($F61,"_",AT$4),Corporativa_2,MATCH(AT$3,Corporativa!$F$27:$O$27,0),0)),"",VLOOKUP(CONCATENATE($F61,"_",AT$4),Corporativa_2,MATCH(AT$3,Corporativa!$F$27:$O$27,0),0)),"")</f>
        <v>162</v>
      </c>
      <c r="AU61" t="str">
        <f>+IFERROR(IF(ISBLANK(VLOOKUP(CONCATENATE($F61,"_",AU$4),Corporativa_2,MATCH(AU$3,Corporativa!$F$27:$O$27,0),0)),"",VLOOKUP(CONCATENATE($F61,"_",AU$4),Corporativa_2,MATCH(AU$3,Corporativa!$F$27:$O$27,0),0)),"")</f>
        <v>N/A</v>
      </c>
      <c r="AV61" t="str">
        <f>+IFERROR(IF(ISBLANK(VLOOKUP(CONCATENATE($F61,"_",AV$4),Corporativa_2,MATCH(AV$3,Corporativa!$F$27:$O$27,0),0)),"",VLOOKUP(CONCATENATE($F61,"_",AV$4),Corporativa_2,MATCH(AV$3,Corporativa!$F$27:$O$27,0),0)),"")</f>
        <v xml:space="preserve">Teniendo en cuenta el aislamiento por el COVID-19, las solicitudes de servicios administrativos se han solicitado por teléfono y correo electrónico. Lo que no ha permitido hacer evaluaciones de los servicios 
</v>
      </c>
      <c r="AW61" t="str">
        <f>+IFERROR(IF(ISBLANK(VLOOKUP(CONCATENATE($F61,"_",AW$4),Corporativa_2,MATCH(AW$3,Corporativa!$F$27:$O$27,0),0)),"",VLOOKUP(CONCATENATE($F61,"_",AW$4),Corporativa_2,MATCH(AW$3,Corporativa!$F$27:$O$27,0),0)),"")</f>
        <v>N/A</v>
      </c>
      <c r="AX61">
        <f>+IFERROR(IF(ISBLANK(VLOOKUP(CONCATENATE($F61,"_",AX$4),Corporativa_2,MATCH(AX$3,Corporativa!$F$27:$O$27,0),0)),"",VLOOKUP(CONCATENATE($F61,"_",AX$4),Corporativa_2,MATCH(AX$3,Corporativa!$F$27:$O$27,0),0)),"")</f>
        <v>184</v>
      </c>
      <c r="AY61">
        <f>+IFERROR(IF(ISBLANK(VLOOKUP(CONCATENATE($F61,"_",AY$4),Corporativa_2,MATCH(AY$3,Corporativa!$F$27:$O$27,0),0)),"",VLOOKUP(CONCATENATE($F61,"_",AY$4),Corporativa_2,MATCH(AY$3,Corporativa!$F$27:$O$27,0),0)),"")</f>
        <v>184</v>
      </c>
      <c r="AZ61" t="str">
        <f>+IFERROR(IF(ISBLANK(VLOOKUP(CONCATENATE($F61,"_",AZ$4),Corporativa_2,MATCH(AZ$3,Corporativa!$F$27:$O$27,0),0)),"",VLOOKUP(CONCATENATE($F61,"_",AZ$4),Corporativa_2,MATCH(AZ$3,Corporativa!$F$27:$O$27,0),0)),"")</f>
        <v>Se contó con el 100% de las evaluaciones calificadas, no se presentaron reclamaciones a los servicios prestados</v>
      </c>
      <c r="BA61" t="str">
        <f>+IFERROR(IF(ISBLANK(VLOOKUP(CONCATENATE($F61,"_",BA$4),Corporativa_2,MATCH(BA$3,Corporativa!$F$27:$O$27,0),0)),"",VLOOKUP(CONCATENATE($F61,"_",BA$4),Corporativa_2,MATCH(BA$3,Corporativa!$F$27:$O$27,0),0)),"")</f>
        <v xml:space="preserve">Se tien 11 solicitudes registradas en el sistema de servcios administrativos y 173 soliciudes por correo electronico , de los servcios prestados no se presentarón reclamaciones. </v>
      </c>
      <c r="BB61" t="str">
        <f>+IFERROR(IF(ISBLANK(VLOOKUP(CONCATENATE($F61,"_",BB$4),Corporativa_2,MATCH(BB$3,Corporativa!$F$27:$O$27,0),0)),"",VLOOKUP(CONCATENATE($F61,"_",BB$4),Corporativa_2,MATCH(BB$3,Corporativa!$F$27:$O$27,0),0)),"")</f>
        <v>Teniendo en cuenta el aislamiento por el COVID-19, la mayoria de solicitudes de servicios administrativos se han solicitado por teléfono y correo electrónico. Lo que no ha permitido hacer el total de  evaluaciones de los servicios</v>
      </c>
      <c r="BC61">
        <f t="shared" si="10"/>
        <v>782</v>
      </c>
      <c r="BD61">
        <f t="shared" si="10"/>
        <v>782</v>
      </c>
      <c r="CI61" t="str">
        <f t="shared" si="45"/>
        <v>Cumple</v>
      </c>
      <c r="CJ61" t="str">
        <f t="shared" si="45"/>
        <v>Deficiente</v>
      </c>
      <c r="CK61" t="str">
        <f t="shared" si="45"/>
        <v>No adecuado</v>
      </c>
      <c r="CL61" t="str">
        <f t="shared" si="45"/>
        <v>Incoherente</v>
      </c>
      <c r="CM61" t="str">
        <f t="shared" si="45"/>
        <v>Difiere</v>
      </c>
      <c r="CN61" t="str">
        <f t="shared" si="45"/>
        <v>Concuerda</v>
      </c>
      <c r="CO61" t="str">
        <f t="shared" si="45"/>
        <v>No aplica</v>
      </c>
      <c r="CP61" t="str">
        <f t="shared" si="45"/>
        <v>No adecuado</v>
      </c>
      <c r="CQ61" t="str">
        <f t="shared" si="45"/>
        <v>Oportuna</v>
      </c>
      <c r="CR61" t="str">
        <f t="shared" si="45"/>
        <v>Se debe diligenciar la información del indicador teniendo en cuenta el número de solicitudes recibidas en medios alternos al aplicativo.</v>
      </c>
      <c r="CS61" t="str">
        <f t="shared" si="46"/>
        <v>Sandra Patricia Ortiz Barrera</v>
      </c>
      <c r="CT61" t="str">
        <f t="shared" si="46"/>
        <v>Cumple</v>
      </c>
      <c r="CU61" t="str">
        <f t="shared" si="46"/>
        <v>Cumplido</v>
      </c>
      <c r="CV61" t="str">
        <f t="shared" si="46"/>
        <v>Adecuado</v>
      </c>
      <c r="CW61" t="str">
        <f t="shared" si="46"/>
        <v>Coherente</v>
      </c>
      <c r="CX61" t="str">
        <f t="shared" si="46"/>
        <v>Concuerda</v>
      </c>
      <c r="CY61" t="str">
        <f t="shared" si="46"/>
        <v>Concuerda</v>
      </c>
      <c r="CZ61" t="str">
        <f t="shared" si="46"/>
        <v>No aplica</v>
      </c>
      <c r="DA61" t="str">
        <f t="shared" si="46"/>
        <v>Adecuado</v>
      </c>
      <c r="DB61" t="str">
        <f t="shared" si="46"/>
        <v>Oportuna</v>
      </c>
      <c r="DC61" t="str">
        <f t="shared" si="47"/>
        <v>El reporte del indicador es adecuado en términos de coherencia y consistencia. El indicador presenta un cumplimiento del 105%</v>
      </c>
      <c r="DD61">
        <f t="shared" si="47"/>
        <v>0</v>
      </c>
      <c r="DE61" t="e">
        <f t="shared" si="47"/>
        <v>#REF!</v>
      </c>
      <c r="DF61" t="e">
        <f t="shared" si="47"/>
        <v>#REF!</v>
      </c>
      <c r="DG61" t="e">
        <f t="shared" si="47"/>
        <v>#REF!</v>
      </c>
      <c r="DH61" t="e">
        <f t="shared" si="47"/>
        <v>#REF!</v>
      </c>
      <c r="DI61" t="e">
        <f t="shared" si="47"/>
        <v>#REF!</v>
      </c>
      <c r="DJ61" t="e">
        <f t="shared" si="47"/>
        <v>#REF!</v>
      </c>
      <c r="DK61" t="e">
        <f t="shared" si="47"/>
        <v>#REF!</v>
      </c>
      <c r="DL61" t="e">
        <f t="shared" si="47"/>
        <v>#REF!</v>
      </c>
      <c r="DM61" t="e">
        <f t="shared" si="48"/>
        <v>#REF!</v>
      </c>
      <c r="DN61" t="e">
        <f t="shared" si="48"/>
        <v>#REF!</v>
      </c>
      <c r="DO61" t="e">
        <f t="shared" si="48"/>
        <v>#REF!</v>
      </c>
      <c r="DP61" t="e">
        <f t="shared" si="48"/>
        <v>#REF!</v>
      </c>
      <c r="DQ61" t="e">
        <f t="shared" si="48"/>
        <v>#REF!</v>
      </c>
      <c r="DR61" t="e">
        <f t="shared" si="48"/>
        <v>#REF!</v>
      </c>
      <c r="DS61" t="e">
        <f t="shared" si="48"/>
        <v>#REF!</v>
      </c>
      <c r="DT61" t="e">
        <f t="shared" si="48"/>
        <v>#REF!</v>
      </c>
      <c r="DU61" t="e">
        <f t="shared" si="48"/>
        <v>#REF!</v>
      </c>
      <c r="DV61" t="e">
        <f t="shared" si="48"/>
        <v>#REF!</v>
      </c>
      <c r="DW61" t="e">
        <f t="shared" si="48"/>
        <v>#REF!</v>
      </c>
      <c r="DX61" t="e">
        <f t="shared" si="48"/>
        <v>#REF!</v>
      </c>
    </row>
    <row r="62" spans="1:128" x14ac:dyDescent="0.3">
      <c r="A62" s="423">
        <f t="shared" si="49"/>
        <v>126</v>
      </c>
      <c r="B62" t="str">
        <f t="shared" si="50"/>
        <v>2_Subdirección de Servicios Administrativos</v>
      </c>
      <c r="C62">
        <f t="shared" si="8"/>
        <v>2</v>
      </c>
      <c r="D62" t="str">
        <f t="shared" si="0"/>
        <v>Subdirección de Servicios Administrativos</v>
      </c>
      <c r="E62" t="str">
        <f t="shared" si="51"/>
        <v>ssa</v>
      </c>
      <c r="F62" s="207">
        <f>Corporativa!D16</f>
        <v>126</v>
      </c>
      <c r="G62" t="str">
        <f t="shared" si="52"/>
        <v>Constante</v>
      </c>
      <c r="H62" t="str">
        <f t="shared" si="52"/>
        <v>Porcentaje</v>
      </c>
      <c r="I62">
        <f t="shared" si="52"/>
        <v>0.9</v>
      </c>
      <c r="J62">
        <f t="shared" si="52"/>
        <v>0.9</v>
      </c>
      <c r="K62" t="str">
        <f>+IFERROR(VLOOKUP($F62,Corporativa_1,MATCH(K$5,Corporativa!$D$9:$V$9,0),0),"")</f>
        <v>Suma</v>
      </c>
      <c r="L62">
        <f>+IFERROR(VLOOKUP($F62,Corporativa_1,MATCH(L$5,Corporativa!$D$9:$V$9,0),0),"")</f>
        <v>26</v>
      </c>
      <c r="M62">
        <f t="shared" si="40"/>
        <v>26</v>
      </c>
      <c r="N62">
        <f>+IFERROR(VLOOKUP($F62,Corporativa_1,MATCH(N$5,Corporativa!$D$9:$V$9,0),0),"")</f>
        <v>0</v>
      </c>
      <c r="O62">
        <f>+IFERROR(VLOOKUP($F62,Corporativa_1,MATCH(O$5,Corporativa!$D$9:$V$9,0),0),"")</f>
        <v>15</v>
      </c>
      <c r="P62">
        <f>+IFERROR(VLOOKUP($F62,Corporativa_1,MATCH(P$5,Corporativa!$D$9:$V$9,0),0),"")</f>
        <v>11</v>
      </c>
      <c r="Q62">
        <f>+IFERROR(VLOOKUP($F62,Corporativa_1,MATCH(Q$5,Corporativa!$D$9:$V$9,0),0),"")</f>
        <v>0</v>
      </c>
      <c r="R62">
        <f>+IFERROR(VLOOKUP($F62,Corporativa_1,MATCH(R$5,Corporativa!$D$9:$V$9,0),0),"")</f>
        <v>0</v>
      </c>
      <c r="S62">
        <f>+IFERROR(VLOOKUP($F62,Corporativa_1,MATCH(S$5,Corporativa!$D$9:$V$9,0),0),"")</f>
        <v>0</v>
      </c>
      <c r="T62">
        <f>+IFERROR(VLOOKUP($F62,Corporativa_1,MATCH(T$5,Corporativa!$D$9:$V$9,0),0),"")</f>
        <v>100</v>
      </c>
      <c r="U62" t="str">
        <f>+IFERROR(VLOOKUP($F62,Corporativa_1,MATCH(U$5,Corporativa!$D$9:$V$9,0),0),"")</f>
        <v xml:space="preserve">Fortalecer  y  normalizar los archivos de gestión de la entidad.   Es necesario sensibilizar a los servidores con relación a la organización de documentos para ponerlos al servicio de las diferentes dependencias de la Secretaria General.  </v>
      </c>
      <c r="V62" t="str">
        <f>+IFERROR(VLOOKUP($F62,Corporativa_1,MATCH(V$5,Corporativa!$D$9:$V$9,0),0),"")</f>
        <v>• Capacitar a los servidores responsables de los archivos de gestión en la diferentes dependencias de la Secretaria General.</v>
      </c>
      <c r="W62" t="str">
        <f>+IFERROR(VLOOKUP($F62,Corporativa_1,MATCH(W$5,Corporativa!$D$9:$V$9,0),0),"")</f>
        <v xml:space="preserve">Disponer oportunamente con los documentos en caso de cualquier consulta o requerimiento por parte de los ciudadanos, dado que los  archivos de las dependencias de la Secretaria General se encuentran organizados y normalizados. </v>
      </c>
      <c r="X62" t="str">
        <f>+IFERROR(VLOOKUP($F62,Corporativa_1,MATCH(X$5,Corporativa!$D$9:$V$9,0),0),"")</f>
        <v>* Programación de asistencias técnicas
* Formatos de asistencia o actas de evidencia de reunión.</v>
      </c>
      <c r="Y62">
        <f>+IFERROR(IF(ISBLANK(VLOOKUP(CONCATENATE($F62,"_",Y$4),Corporativa_2,MATCH(Y$3,Corporativa!$F$27:$O$27,0),0)),"",VLOOKUP(CONCATENATE($F62,"_",Y$4),Corporativa_2,MATCH(Y$3,Corporativa!$F$27:$O$27,0),0)),"")</f>
        <v>0</v>
      </c>
      <c r="Z62">
        <f>+IFERROR(IF(ISBLANK(VLOOKUP(CONCATENATE($F62,"_",Z$4),Corporativa_2,MATCH(Z$3,Corporativa!$F$27:$O$27,0),0)),"",VLOOKUP(CONCATENATE($F62,"_",Z$4),Corporativa_2,MATCH(Z$3,Corporativa!$F$27:$O$27,0),0)),"")</f>
        <v>0</v>
      </c>
      <c r="AA62" t="str">
        <f>+IFERROR(IF(ISBLANK(VLOOKUP(CONCATENATE($F62,"_",AA$4),Corporativa_2,MATCH(AA$3,Corporativa!$F$27:$O$27,0),0)),"",VLOOKUP(CONCATENATE($F62,"_",AA$4),Corporativa_2,MATCH(AA$3,Corporativa!$F$27:$O$27,0),0)),"")</f>
        <v>El 22 de enero se remitió a las dependencias el memorando 3-2020-1712 con el cronograma de las visitas a realizar</v>
      </c>
      <c r="AB62" t="str">
        <f>+IFERROR(IF(ISBLANK(VLOOKUP(CONCATENATE($F62,"_",AB$4),Corporativa_2,MATCH(AB$3,Corporativa!$F$27:$O$27,0),0)),"",VLOOKUP(CONCATENATE($F62,"_",AB$4),Corporativa_2,MATCH(AB$3,Corporativa!$F$27:$O$27,0),0)),"")</f>
        <v>N.A.</v>
      </c>
      <c r="AC62" t="str">
        <f>+IFERROR(IF(ISBLANK(VLOOKUP(CONCATENATE($F62,"_",AC$4),Corporativa_2,MATCH(AC$3,Corporativa!$F$27:$O$27,0),0)),"",VLOOKUP(CONCATENATE($F62,"_",AC$4),Corporativa_2,MATCH(AC$3,Corporativa!$F$27:$O$27,0),0)),"")</f>
        <v>Orientación tecnica relacionada con organización de archivos de gestión a las dependencias</v>
      </c>
      <c r="AD62">
        <f>+IFERROR(IF(ISBLANK(VLOOKUP(CONCATENATE($F62,"_",AD$4),Corporativa_2,MATCH(AD$3,Corporativa!$F$27:$O$27,0),0)),"",VLOOKUP(CONCATENATE($F62,"_",AD$4),Corporativa_2,MATCH(AD$3,Corporativa!$F$27:$O$27,0),0)),"")</f>
        <v>15</v>
      </c>
      <c r="AE62">
        <f>+IFERROR(IF(ISBLANK(VLOOKUP(CONCATENATE($F62,"_",AE$4),Corporativa_2,MATCH(AE$3,Corporativa!$F$27:$O$27,0),0)),"",VLOOKUP(CONCATENATE($F62,"_",AE$4),Corporativa_2,MATCH(AE$3,Corporativa!$F$27:$O$27,0),0)),"")</f>
        <v>15</v>
      </c>
      <c r="AF62" t="str">
        <f>+IFERROR(IF(ISBLANK(VLOOKUP(CONCATENATE($F62,"_",AF$4),Corporativa_2,MATCH(AF$3,Corporativa!$F$27:$O$27,0),0)),"",VLOOKUP(CONCATENATE($F62,"_",AF$4),Corporativa_2,MATCH(AF$3,Corporativa!$F$27:$O$27,0),0)),"")</f>
        <v>Se realizaron 15 visitas de acuerdo con lo programado</v>
      </c>
      <c r="AG62" t="str">
        <f>+IFERROR(IF(ISBLANK(VLOOKUP(CONCATENATE($F62,"_",AG$4),Corporativa_2,MATCH(AG$3,Corporativa!$F$27:$O$27,0),0)),"",VLOOKUP(CONCATENATE($F62,"_",AG$4),Corporativa_2,MATCH(AG$3,Corporativa!$F$27:$O$27,0),0)),"")</f>
        <v>N.A.</v>
      </c>
      <c r="AH62" t="str">
        <f>+IFERROR(IF(ISBLANK(VLOOKUP(CONCATENATE($F62,"_",AH$4),Corporativa_2,MATCH(AH$3,Corporativa!$F$27:$O$27,0),0)),"",VLOOKUP(CONCATENATE($F62,"_",AH$4),Corporativa_2,MATCH(AH$3,Corporativa!$F$27:$O$27,0),0)),"")</f>
        <v>Orientación tecnica relacionada con organización de archivos de gestión a las dependencias</v>
      </c>
      <c r="AI62">
        <f>+IFERROR(IF(ISBLANK(VLOOKUP(CONCATENATE($F62,"_",AI$4),Corporativa_2,MATCH(AI$3,Corporativa!$F$27:$O$27,0),0)),"",VLOOKUP(CONCATENATE($F62,"_",AI$4),Corporativa_2,MATCH(AI$3,Corporativa!$F$27:$O$27,0),0)),"")</f>
        <v>11</v>
      </c>
      <c r="AJ62">
        <f>+IFERROR(IF(ISBLANK(VLOOKUP(CONCATENATE($F62,"_",AJ$4),Corporativa_2,MATCH(AJ$3,Corporativa!$F$27:$O$27,0),0)),"",VLOOKUP(CONCATENATE($F62,"_",AJ$4),Corporativa_2,MATCH(AJ$3,Corporativa!$F$27:$O$27,0),0)),"")</f>
        <v>11</v>
      </c>
      <c r="AK62" t="str">
        <f>+IFERROR(IF(ISBLANK(VLOOKUP(CONCATENATE($F62,"_",AK$4),Corporativa_2,MATCH(AK$3,Corporativa!$F$27:$O$27,0),0)),"",VLOOKUP(CONCATENATE($F62,"_",AK$4),Corporativa_2,MATCH(AK$3,Corporativa!$F$27:$O$27,0),0)),"")</f>
        <v>Se realizaron 11 visitas de acuerdo con lo programado</v>
      </c>
      <c r="AL62" t="str">
        <f>+IFERROR(IF(ISBLANK(VLOOKUP(CONCATENATE($F62,"_",AL$4),Corporativa_2,MATCH(AL$3,Corporativa!$F$27:$O$27,0),0)),"",VLOOKUP(CONCATENATE($F62,"_",AL$4),Corporativa_2,MATCH(AL$3,Corporativa!$F$27:$O$27,0),0)),"")</f>
        <v>N.A.</v>
      </c>
      <c r="AM62" t="str">
        <f>+IFERROR(IF(ISBLANK(VLOOKUP(CONCATENATE($F62,"_",AM$4),Corporativa_2,MATCH(AM$3,Corporativa!$F$27:$O$27,0),0)),"",VLOOKUP(CONCATENATE($F62,"_",AM$4),Corporativa_2,MATCH(AM$3,Corporativa!$F$27:$O$27,0),0)),"")</f>
        <v>Orientación tecnica relacionada con organización de archivos de gestión a las dependencias</v>
      </c>
      <c r="AN62">
        <f>+IFERROR(IF(ISBLANK(VLOOKUP(CONCATENATE($F62,"_",AN$4),Corporativa_2,MATCH(AN$3,Corporativa!$F$27:$O$27,0),0)),"",VLOOKUP(CONCATENATE($F62,"_",AN$4),Corporativa_2,MATCH(AN$3,Corporativa!$F$27:$O$27,0),0)),"")</f>
        <v>0</v>
      </c>
      <c r="AO62">
        <f>+IFERROR(IF(ISBLANK(VLOOKUP(CONCATENATE($F62,"_",AO$4),Corporativa_2,MATCH(AO$3,Corporativa!$F$27:$O$27,0),0)),"",VLOOKUP(CONCATENATE($F62,"_",AO$4),Corporativa_2,MATCH(AO$3,Corporativa!$F$27:$O$27,0),0)),"")</f>
        <v>0</v>
      </c>
      <c r="AP62" t="str">
        <f>+IFERROR(IF(ISBLANK(VLOOKUP(CONCATENATE($F62,"_",AP$4),Corporativa_2,MATCH(AP$3,Corporativa!$F$27:$O$27,0),0)),"",VLOOKUP(CONCATENATE($F62,"_",AP$4),Corporativa_2,MATCH(AP$3,Corporativa!$F$27:$O$27,0),0)),"")</f>
        <v>No se programaron visitas 
Mediante comunicación 3-2020-8744 se informó a las dependencias aplazamiento de las visitas por la emergencia sanitaria</v>
      </c>
      <c r="AQ62" t="str">
        <f>+IFERROR(IF(ISBLANK(VLOOKUP(CONCATENATE($F62,"_",AQ$4),Corporativa_2,MATCH(AQ$3,Corporativa!$F$27:$O$27,0),0)),"",VLOOKUP(CONCATENATE($F62,"_",AQ$4),Corporativa_2,MATCH(AQ$3,Corporativa!$F$27:$O$27,0),0)),"")</f>
        <v>Se hizo necesario suspender y aplazar visitas programadas, por la emergencia sanitaria, se informó a las dependencias mediante 3-2020-8744. sin embargo se ha realizado asitencia técnica virtual por demanda</v>
      </c>
      <c r="AR62" t="str">
        <f>+IFERROR(IF(ISBLANK(VLOOKUP(CONCATENATE($F62,"_",AR$4),Corporativa_2,MATCH(AR$3,Corporativa!$F$27:$O$27,0),0)),"",VLOOKUP(CONCATENATE($F62,"_",AR$4),Corporativa_2,MATCH(AR$3,Corporativa!$F$27:$O$27,0),0)),"")</f>
        <v>Se ha realizado asitencia técnica virtual por demanda, brinando orientación tecnica relacionada con organización de archivos de gestión a las dependencias</v>
      </c>
      <c r="AS62">
        <f>+IFERROR(IF(ISBLANK(VLOOKUP(CONCATENATE($F62,"_",AS$4),Corporativa_2,MATCH(AS$3,Corporativa!$F$27:$O$27,0),0)),"",VLOOKUP(CONCATENATE($F62,"_",AS$4),Corporativa_2,MATCH(AS$3,Corporativa!$F$27:$O$27,0),0)),"")</f>
        <v>0</v>
      </c>
      <c r="AT62">
        <f>+IFERROR(IF(ISBLANK(VLOOKUP(CONCATENATE($F62,"_",AT$4),Corporativa_2,MATCH(AT$3,Corporativa!$F$27:$O$27,0),0)),"",VLOOKUP(CONCATENATE($F62,"_",AT$4),Corporativa_2,MATCH(AT$3,Corporativa!$F$27:$O$27,0),0)),"")</f>
        <v>0</v>
      </c>
      <c r="AU62" t="str">
        <f>+IFERROR(IF(ISBLANK(VLOOKUP(CONCATENATE($F62,"_",AU$4),Corporativa_2,MATCH(AU$3,Corporativa!$F$27:$O$27,0),0)),"",VLOOKUP(CONCATENATE($F62,"_",AU$4),Corporativa_2,MATCH(AU$3,Corporativa!$F$27:$O$27,0),0)),"")</f>
        <v>No se programaron visitas 
Mediante comunicación 3-2020-8744 se informó a las dependencias aplazamiento de las visitas por la emergencia sanitaria</v>
      </c>
      <c r="AV62" t="str">
        <f>+IFERROR(IF(ISBLANK(VLOOKUP(CONCATENATE($F62,"_",AV$4),Corporativa_2,MATCH(AV$3,Corporativa!$F$27:$O$27,0),0)),"",VLOOKUP(CONCATENATE($F62,"_",AV$4),Corporativa_2,MATCH(AV$3,Corporativa!$F$27:$O$27,0),0)),"")</f>
        <v>Se hizo necesario suspender y aplazar visitas programadas, por la emergencia sanitaria, se informó a las dependencias mediante 3-2020-8744. sin embargo se ha realizado asitencia técnica virtual por demanda</v>
      </c>
      <c r="AW62" t="str">
        <f>+IFERROR(IF(ISBLANK(VLOOKUP(CONCATENATE($F62,"_",AW$4),Corporativa_2,MATCH(AW$3,Corporativa!$F$27:$O$27,0),0)),"",VLOOKUP(CONCATENATE($F62,"_",AW$4),Corporativa_2,MATCH(AW$3,Corporativa!$F$27:$O$27,0),0)),"")</f>
        <v>Se ha realizado asitencia técnica virtual por demanda, brinando orientación tecnica relacionada con organización de archivos de gestión a las dependencias</v>
      </c>
      <c r="AX62">
        <f>+IFERROR(IF(ISBLANK(VLOOKUP(CONCATENATE($F62,"_",AX$4),Corporativa_2,MATCH(AX$3,Corporativa!$F$27:$O$27,0),0)),"",VLOOKUP(CONCATENATE($F62,"_",AX$4),Corporativa_2,MATCH(AX$3,Corporativa!$F$27:$O$27,0),0)),"")</f>
        <v>0</v>
      </c>
      <c r="AY62">
        <f>+IFERROR(IF(ISBLANK(VLOOKUP(CONCATENATE($F62,"_",AY$4),Corporativa_2,MATCH(AY$3,Corporativa!$F$27:$O$27,0),0)),"",VLOOKUP(CONCATENATE($F62,"_",AY$4),Corporativa_2,MATCH(AY$3,Corporativa!$F$27:$O$27,0),0)),"")</f>
        <v>0</v>
      </c>
      <c r="AZ62" t="str">
        <f>+IFERROR(IF(ISBLANK(VLOOKUP(CONCATENATE($F62,"_",AZ$4),Corporativa_2,MATCH(AZ$3,Corporativa!$F$27:$O$27,0),0)),"",VLOOKUP(CONCATENATE($F62,"_",AZ$4),Corporativa_2,MATCH(AZ$3,Corporativa!$F$27:$O$27,0),0)),"")</f>
        <v>No se programaron visitas 
Mediante comunicación 3-2020-8744 se informó a las dependencias aplazamiento de las visitas por la emergencia sanitaria</v>
      </c>
      <c r="BA62" t="str">
        <f>+IFERROR(IF(ISBLANK(VLOOKUP(CONCATENATE($F62,"_",BA$4),Corporativa_2,MATCH(BA$3,Corporativa!$F$27:$O$27,0),0)),"",VLOOKUP(CONCATENATE($F62,"_",BA$4),Corporativa_2,MATCH(BA$3,Corporativa!$F$27:$O$27,0),0)),"")</f>
        <v>Se hizo necesario suspender y aplazar visitas programadas, por la emergencia sanitaria, se informó a las dependencias mediante 3-2020-8744. sin embargo se ha realizado asitencia técnica virtual por demanda</v>
      </c>
      <c r="BB62" t="str">
        <f>+IFERROR(IF(ISBLANK(VLOOKUP(CONCATENATE($F62,"_",BB$4),Corporativa_2,MATCH(BB$3,Corporativa!$F$27:$O$27,0),0)),"",VLOOKUP(CONCATENATE($F62,"_",BB$4),Corporativa_2,MATCH(BB$3,Corporativa!$F$27:$O$27,0),0)),"")</f>
        <v>Se ha realizado asitencia técnica virtual por demanda, brinando orientación tecnica relacionada con organización de archivos de gestión a las dependencias</v>
      </c>
      <c r="BC62">
        <f t="shared" si="10"/>
        <v>26</v>
      </c>
      <c r="BD62">
        <f t="shared" si="10"/>
        <v>26</v>
      </c>
      <c r="CI62" t="str">
        <f t="shared" si="45"/>
        <v>Cumple</v>
      </c>
      <c r="CJ62" t="str">
        <f t="shared" si="45"/>
        <v>Cumplido</v>
      </c>
      <c r="CK62" t="str">
        <f t="shared" si="45"/>
        <v>Adecuado</v>
      </c>
      <c r="CL62" t="str">
        <f t="shared" si="45"/>
        <v>Coherente</v>
      </c>
      <c r="CM62" t="str">
        <f t="shared" si="45"/>
        <v>Concuerda</v>
      </c>
      <c r="CN62" t="str">
        <f t="shared" si="45"/>
        <v>Concuerda</v>
      </c>
      <c r="CO62" t="str">
        <f t="shared" si="45"/>
        <v>No aplica</v>
      </c>
      <c r="CP62" t="str">
        <f t="shared" si="45"/>
        <v>Adecuado</v>
      </c>
      <c r="CQ62" t="str">
        <f t="shared" si="45"/>
        <v>Oportuna</v>
      </c>
      <c r="CR62" t="str">
        <f t="shared" si="45"/>
        <v>Ninguna</v>
      </c>
      <c r="CS62" t="str">
        <f t="shared" si="46"/>
        <v>Sandra Patricia Ortiz Barrera</v>
      </c>
      <c r="CT62" t="str">
        <f t="shared" si="46"/>
        <v>Cumple</v>
      </c>
      <c r="CU62" t="str">
        <f t="shared" si="46"/>
        <v>Cumplido</v>
      </c>
      <c r="CV62" t="str">
        <f t="shared" si="46"/>
        <v>Adecuado</v>
      </c>
      <c r="CW62" t="str">
        <f t="shared" si="46"/>
        <v>Coherente</v>
      </c>
      <c r="CX62" t="str">
        <f t="shared" si="46"/>
        <v>Concuerda</v>
      </c>
      <c r="CY62" t="str">
        <f t="shared" si="46"/>
        <v>Concuerda</v>
      </c>
      <c r="CZ62" t="str">
        <f t="shared" si="46"/>
        <v>No aplica</v>
      </c>
      <c r="DA62" t="str">
        <f t="shared" si="46"/>
        <v>Adecuado</v>
      </c>
      <c r="DB62" t="str">
        <f t="shared" si="46"/>
        <v>Oportuna</v>
      </c>
      <c r="DC62" t="str">
        <f t="shared" si="47"/>
        <v>Ninguna</v>
      </c>
      <c r="DD62">
        <f t="shared" si="47"/>
        <v>0</v>
      </c>
      <c r="DE62" t="e">
        <f t="shared" si="47"/>
        <v>#REF!</v>
      </c>
      <c r="DF62" t="e">
        <f t="shared" si="47"/>
        <v>#REF!</v>
      </c>
      <c r="DG62" t="e">
        <f t="shared" si="47"/>
        <v>#REF!</v>
      </c>
      <c r="DH62" t="e">
        <f t="shared" si="47"/>
        <v>#REF!</v>
      </c>
      <c r="DI62" t="e">
        <f t="shared" si="47"/>
        <v>#REF!</v>
      </c>
      <c r="DJ62" t="e">
        <f t="shared" si="47"/>
        <v>#REF!</v>
      </c>
      <c r="DK62" t="e">
        <f t="shared" si="47"/>
        <v>#REF!</v>
      </c>
      <c r="DL62" t="e">
        <f t="shared" si="47"/>
        <v>#REF!</v>
      </c>
      <c r="DM62" t="e">
        <f t="shared" si="48"/>
        <v>#REF!</v>
      </c>
      <c r="DN62" t="e">
        <f t="shared" si="48"/>
        <v>#REF!</v>
      </c>
      <c r="DO62" t="e">
        <f t="shared" si="48"/>
        <v>#REF!</v>
      </c>
      <c r="DP62" t="e">
        <f t="shared" si="48"/>
        <v>#REF!</v>
      </c>
      <c r="DQ62" t="e">
        <f t="shared" si="48"/>
        <v>#REF!</v>
      </c>
      <c r="DR62" t="e">
        <f t="shared" si="48"/>
        <v>#REF!</v>
      </c>
      <c r="DS62" t="e">
        <f t="shared" si="48"/>
        <v>#REF!</v>
      </c>
      <c r="DT62" t="e">
        <f t="shared" si="48"/>
        <v>#REF!</v>
      </c>
      <c r="DU62" t="e">
        <f t="shared" si="48"/>
        <v>#REF!</v>
      </c>
      <c r="DV62" t="e">
        <f t="shared" si="48"/>
        <v>#REF!</v>
      </c>
      <c r="DW62" t="e">
        <f t="shared" si="48"/>
        <v>#REF!</v>
      </c>
      <c r="DX62" t="e">
        <f t="shared" si="48"/>
        <v>#REF!</v>
      </c>
    </row>
    <row r="63" spans="1:128" x14ac:dyDescent="0.3">
      <c r="A63" s="423">
        <f t="shared" si="49"/>
        <v>128</v>
      </c>
      <c r="B63" t="str">
        <f t="shared" si="50"/>
        <v>3_Subdirección de Servicios Administrativos</v>
      </c>
      <c r="C63">
        <f t="shared" si="8"/>
        <v>3</v>
      </c>
      <c r="D63" t="str">
        <f t="shared" si="0"/>
        <v>Subdirección de Servicios Administrativos</v>
      </c>
      <c r="E63" t="str">
        <f t="shared" si="51"/>
        <v>ssa</v>
      </c>
      <c r="F63" s="207">
        <f>Corporativa!D17</f>
        <v>128</v>
      </c>
      <c r="G63" t="str">
        <f t="shared" si="52"/>
        <v>Constante</v>
      </c>
      <c r="H63" t="str">
        <f t="shared" si="52"/>
        <v>Porcentaje</v>
      </c>
      <c r="I63">
        <f t="shared" si="52"/>
        <v>0.8</v>
      </c>
      <c r="J63">
        <f t="shared" si="52"/>
        <v>0.95</v>
      </c>
      <c r="K63" t="str">
        <f>+IFERROR(VLOOKUP($F63,Corporativa_1,MATCH(K$5,Corporativa!$D$9:$V$9,0),0),"")</f>
        <v>Constante</v>
      </c>
      <c r="L63" t="str">
        <f>+IFERROR(VLOOKUP($F63,Corporativa_1,MATCH(L$5,Corporativa!$D$9:$V$9,0),0),"")</f>
        <v/>
      </c>
      <c r="M63">
        <f t="shared" si="40"/>
        <v>240</v>
      </c>
      <c r="N63">
        <f>+IFERROR(VLOOKUP($F63,Corporativa_1,MATCH(N$5,Corporativa!$D$9:$V$9,0),0),"")</f>
        <v>80</v>
      </c>
      <c r="O63">
        <f>+IFERROR(VLOOKUP($F63,Corporativa_1,MATCH(O$5,Corporativa!$D$9:$V$9,0),0),"")</f>
        <v>80</v>
      </c>
      <c r="P63">
        <f>+IFERROR(VLOOKUP($F63,Corporativa_1,MATCH(P$5,Corporativa!$D$9:$V$9,0),0),"")</f>
        <v>80</v>
      </c>
      <c r="Q63">
        <f>+IFERROR(VLOOKUP($F63,Corporativa_1,MATCH(Q$5,Corporativa!$D$9:$V$9,0),0),"")</f>
        <v>80</v>
      </c>
      <c r="R63">
        <f>+IFERROR(VLOOKUP($F63,Corporativa_1,MATCH(R$5,Corporativa!$D$9:$V$9,0),0),"")</f>
        <v>80</v>
      </c>
      <c r="S63">
        <f>+IFERROR(VLOOKUP($F63,Corporativa_1,MATCH(S$5,Corporativa!$D$9:$V$9,0),0),"")</f>
        <v>80</v>
      </c>
      <c r="T63">
        <f>+IFERROR(VLOOKUP($F63,Corporativa_1,MATCH(T$5,Corporativa!$D$9:$V$9,0),0),"")</f>
        <v>80</v>
      </c>
      <c r="U63" t="str">
        <f>+IFERROR(VLOOKUP($F63,Corporativa_1,MATCH(U$5,Corporativa!$D$9:$V$9,0),0),"")</f>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
      <c r="V63" t="str">
        <f>+IFERROR(VLOOKUP($F63,Corporativa_1,MATCH(V$5,Corporativa!$D$9:$V$9,0),0),"")</f>
        <v xml:space="preserve">• Gestionar los tramites de recursos físicos </v>
      </c>
      <c r="W63" t="str">
        <f>+IFERROR(VLOOKUP($F63,Corporativa_1,MATCH(W$5,Corporativa!$D$9:$V$9,0),0),"")</f>
        <v>Se requiere cumplir con los tiempos normativos establecidos para la atención a los trámites de recursos físicos, para que los funcionarios puedan contar con elementos en buen estado y de manera oportuna que permitan la prestacion de sus servicios.</v>
      </c>
      <c r="X63" t="str">
        <f>+IFERROR(VLOOKUP($F63,Corporativa_1,MATCH(X$5,Corporativa!$D$9:$V$9,0),0),"")</f>
        <v>*Informe de acuerdo con la informacion descargada del Sistema de correspondencia interna del SAI</v>
      </c>
      <c r="Y63">
        <f>+IFERROR(IF(ISBLANK(VLOOKUP(CONCATENATE($F63,"_",Y$4),Corporativa_2,MATCH(Y$3,Corporativa!$F$27:$O$27,0),0)),"",VLOOKUP(CONCATENATE($F63,"_",Y$4),Corporativa_2,MATCH(Y$3,Corporativa!$F$27:$O$27,0),0)),"")</f>
        <v>233</v>
      </c>
      <c r="Z63">
        <f>+IFERROR(IF(ISBLANK(VLOOKUP(CONCATENATE($F63,"_",Z$4),Corporativa_2,MATCH(Z$3,Corporativa!$F$27:$O$27,0),0)),"",VLOOKUP(CONCATENATE($F63,"_",Z$4),Corporativa_2,MATCH(Z$3,Corporativa!$F$27:$O$27,0),0)),"")</f>
        <v>277</v>
      </c>
      <c r="AA63" t="str">
        <f>+IFERROR(IF(ISBLANK(VLOOKUP(CONCATENATE($F63,"_",AA$4),Corporativa_2,MATCH(AA$3,Corporativa!$F$27:$O$27,0),0)),"",VLOOKUP(CONCATENATE($F63,"_",AA$4),Corporativa_2,MATCH(AA$3,Corporativa!$F$27:$O$27,0),0)),"")</f>
        <v>Se reciben en total 277 solicitudes de las cuales 19 corresponden a ingreso de elementos, 37 a solicitud de elementos de consumo, 5 a solicitud de elementos devolutivos, 155 a traslado entre funcionarios y 61 traslado funcionario a bodega. De este total fueron atendidas dentro de los tiempos establecidos 233 solicitudes lo que corresponde a un 84%.</v>
      </c>
      <c r="AB63" t="str">
        <f>+IFERROR(IF(ISBLANK(VLOOKUP(CONCATENATE($F63,"_",AB$4),Corporativa_2,MATCH(AB$3,Corporativa!$F$27:$O$27,0),0)),"",VLOOKUP(CONCATENATE($F63,"_",AB$4),Corporativa_2,MATCH(AB$3,Corporativa!$F$27:$O$27,0),0)),"")</f>
        <v>Se presentaron solicitudes en el ultimo día para recepción que no permitio tramitar dentro del mismo mes.</v>
      </c>
      <c r="AC63" t="str">
        <f>+IFERROR(IF(ISBLANK(VLOOKUP(CONCATENATE($F63,"_",AC$4),Corporativa_2,MATCH(AC$3,Corporativa!$F$27:$O$27,0),0)),"",VLOOKUP(CONCATENATE($F63,"_",AC$4),Corporativa_2,MATCH(AC$3,Corporativa!$F$27:$O$27,0),0)),"")</f>
        <v>Se evidencia la atención oportuna de las solicitudes de las diferentecs dependencias, las cuales se registran en el CI</v>
      </c>
      <c r="AD63">
        <f>+IFERROR(IF(ISBLANK(VLOOKUP(CONCATENATE($F63,"_",AD$4),Corporativa_2,MATCH(AD$3,Corporativa!$F$27:$O$27,0),0)),"",VLOOKUP(CONCATENATE($F63,"_",AD$4),Corporativa_2,MATCH(AD$3,Corporativa!$F$27:$O$27,0),0)),"")</f>
        <v>418</v>
      </c>
      <c r="AE63">
        <f>+IFERROR(IF(ISBLANK(VLOOKUP(CONCATENATE($F63,"_",AE$4),Corporativa_2,MATCH(AE$3,Corporativa!$F$27:$O$27,0),0)),"",VLOOKUP(CONCATENATE($F63,"_",AE$4),Corporativa_2,MATCH(AE$3,Corporativa!$F$27:$O$27,0),0)),"")</f>
        <v>440</v>
      </c>
      <c r="AF63" t="str">
        <f>+IFERROR(IF(ISBLANK(VLOOKUP(CONCATENATE($F63,"_",AF$4),Corporativa_2,MATCH(AF$3,Corporativa!$F$27:$O$27,0),0)),"",VLOOKUP(CONCATENATE($F63,"_",AF$4),Corporativa_2,MATCH(AF$3,Corporativa!$F$27:$O$27,0),0)),"")</f>
        <v>Se reciben en total 440 solicitudes de las cuales 14 corresponden a ingreso de elementos, 28 a solicitud de elementos de consumo, 2 a solicitud de elementos devolutivos, 319 a traslado entre funcionarios y 77 traslado funcionario a bodega. De este total fueron atendidas dentro de los tiempos establecidos 418 solictudes lo que corresponde a un 95%.</v>
      </c>
      <c r="AG63" t="str">
        <f>+IFERROR(IF(ISBLANK(VLOOKUP(CONCATENATE($F63,"_",AG$4),Corporativa_2,MATCH(AG$3,Corporativa!$F$27:$O$27,0),0)),"",VLOOKUP(CONCATENATE($F63,"_",AG$4),Corporativa_2,MATCH(AG$3,Corporativa!$F$27:$O$27,0),0)),"")</f>
        <v>No se presentaron retrasos o dificutades</v>
      </c>
      <c r="AH63" t="str">
        <f>+IFERROR(IF(ISBLANK(VLOOKUP(CONCATENATE($F63,"_",AH$4),Corporativa_2,MATCH(AH$3,Corporativa!$F$27:$O$27,0),0)),"",VLOOKUP(CONCATENATE($F63,"_",AH$4),Corporativa_2,MATCH(AH$3,Corporativa!$F$27:$O$27,0),0)),"")</f>
        <v>No se presentaron retrasos o dificutades</v>
      </c>
      <c r="AI63">
        <f>+IFERROR(IF(ISBLANK(VLOOKUP(CONCATENATE($F63,"_",AI$4),Corporativa_2,MATCH(AI$3,Corporativa!$F$27:$O$27,0),0)),"",VLOOKUP(CONCATENATE($F63,"_",AI$4),Corporativa_2,MATCH(AI$3,Corporativa!$F$27:$O$27,0),0)),"")</f>
        <v>266</v>
      </c>
      <c r="AJ63">
        <f>+IFERROR(IF(ISBLANK(VLOOKUP(CONCATENATE($F63,"_",AJ$4),Corporativa_2,MATCH(AJ$3,Corporativa!$F$27:$O$27,0),0)),"",VLOOKUP(CONCATENATE($F63,"_",AJ$4),Corporativa_2,MATCH(AJ$3,Corporativa!$F$27:$O$27,0),0)),"")</f>
        <v>282</v>
      </c>
      <c r="AK63" t="str">
        <f>+IFERROR(IF(ISBLANK(VLOOKUP(CONCATENATE($F63,"_",AK$4),Corporativa_2,MATCH(AK$3,Corporativa!$F$27:$O$27,0),0)),"",VLOOKUP(CONCATENATE($F63,"_",AK$4),Corporativa_2,MATCH(AK$3,Corporativa!$F$27:$O$27,0),0)),"")</f>
        <v>Se reciben en total 282 solicitudes de las cuales 3 corresponden a ingreso de elementos, 15 a solicitud de elementos de consumo, 223 a traslado entre funcionarios y 41 traslado funcionario a bodega. De este total fueron atendidas dentro de los tiempos establecidos 266 solicitudes lo que corresponde a un 94%.</v>
      </c>
      <c r="AL63" t="str">
        <f>+IFERROR(IF(ISBLANK(VLOOKUP(CONCATENATE($F63,"_",AL$4),Corporativa_2,MATCH(AL$3,Corporativa!$F$27:$O$27,0),0)),"",VLOOKUP(CONCATENATE($F63,"_",AL$4),Corporativa_2,MATCH(AL$3,Corporativa!$F$27:$O$27,0),0)),"")</f>
        <v>No se presentaron retrasos o dificutades</v>
      </c>
      <c r="AM63" t="str">
        <f>+IFERROR(IF(ISBLANK(VLOOKUP(CONCATENATE($F63,"_",AM$4),Corporativa_2,MATCH(AM$3,Corporativa!$F$27:$O$27,0),0)),"",VLOOKUP(CONCATENATE($F63,"_",AM$4),Corporativa_2,MATCH(AM$3,Corporativa!$F$27:$O$27,0),0)),"")</f>
        <v>Se evidencia la atención oportuna de las solicitudes de las diferentecs dependencias, las cuales se registran en el CI</v>
      </c>
      <c r="AN63">
        <f>+IFERROR(IF(ISBLANK(VLOOKUP(CONCATENATE($F63,"_",AN$4),Corporativa_2,MATCH(AN$3,Corporativa!$F$27:$O$27,0),0)),"",VLOOKUP(CONCATENATE($F63,"_",AN$4),Corporativa_2,MATCH(AN$3,Corporativa!$F$27:$O$27,0),0)),"")</f>
        <v>4</v>
      </c>
      <c r="AO63">
        <f>+IFERROR(IF(ISBLANK(VLOOKUP(CONCATENATE($F63,"_",AO$4),Corporativa_2,MATCH(AO$3,Corporativa!$F$27:$O$27,0),0)),"",VLOOKUP(CONCATENATE($F63,"_",AO$4),Corporativa_2,MATCH(AO$3,Corporativa!$F$27:$O$27,0),0)),"")</f>
        <v>4</v>
      </c>
      <c r="AP63" t="str">
        <f>+IFERROR(IF(ISBLANK(VLOOKUP(CONCATENATE($F63,"_",AP$4),Corporativa_2,MATCH(AP$3,Corporativa!$F$27:$O$27,0),0)),"",VLOOKUP(CONCATENATE($F63,"_",AP$4),Corporativa_2,MATCH(AP$3,Corporativa!$F$27:$O$27,0),0)),"")</f>
        <v>Se reciben en total 4 solicitudes de las cuales 1 corresponden a ingreso de elementos, 1 a solicitud de elementos de consumo, 2 a traslado funcionario a bodega. De este total fueron atendidas dentro de los tiempos establecidos 4 solicitudes lo que corresponde a un 100%.</v>
      </c>
      <c r="AQ63" t="str">
        <f>+IFERROR(IF(ISBLANK(VLOOKUP(CONCATENATE($F63,"_",AQ$4),Corporativa_2,MATCH(AQ$3,Corporativa!$F$27:$O$27,0),0)),"",VLOOKUP(CONCATENATE($F63,"_",AQ$4),Corporativa_2,MATCH(AQ$3,Corporativa!$F$27:$O$27,0),0)),"")</f>
        <v>No se presentaron retrasos o dificutades</v>
      </c>
      <c r="AR63" t="str">
        <f>+IFERROR(IF(ISBLANK(VLOOKUP(CONCATENATE($F63,"_",AR$4),Corporativa_2,MATCH(AR$3,Corporativa!$F$27:$O$27,0),0)),"",VLOOKUP(CONCATENATE($F63,"_",AR$4),Corporativa_2,MATCH(AR$3,Corporativa!$F$27:$O$27,0),0)),"")</f>
        <v>Se evidencia la atención oportuna de las solicitudes de las diferentecs dependencias, las cuales se registran en el CI</v>
      </c>
      <c r="AS63">
        <f>+IFERROR(IF(ISBLANK(VLOOKUP(CONCATENATE($F63,"_",AS$4),Corporativa_2,MATCH(AS$3,Corporativa!$F$27:$O$27,0),0)),"",VLOOKUP(CONCATENATE($F63,"_",AS$4),Corporativa_2,MATCH(AS$3,Corporativa!$F$27:$O$27,0),0)),"")</f>
        <v>92</v>
      </c>
      <c r="AT63">
        <f>+IFERROR(IF(ISBLANK(VLOOKUP(CONCATENATE($F63,"_",AT$4),Corporativa_2,MATCH(AT$3,Corporativa!$F$27:$O$27,0),0)),"",VLOOKUP(CONCATENATE($F63,"_",AT$4),Corporativa_2,MATCH(AT$3,Corporativa!$F$27:$O$27,0),0)),"")</f>
        <v>115</v>
      </c>
      <c r="AU63" t="str">
        <f>+IFERROR(IF(ISBLANK(VLOOKUP(CONCATENATE($F63,"_",AU$4),Corporativa_2,MATCH(AU$3,Corporativa!$F$27:$O$27,0),0)),"",VLOOKUP(CONCATENATE($F63,"_",AU$4),Corporativa_2,MATCH(AU$3,Corporativa!$F$27:$O$27,0),0)),"")</f>
        <v>Se reciben en total 115 solicitudes de las cuales 3 corresponden a ingreso de elementos, 2 a solicitud de elementos de consumo, 94 a traslado entre funcionarios, 16 traslado funcionario a bodega. De este total fueron atendidas dentro de los tiempos establecidos 92 solicitudes, lo que corresponde a un 80%.</v>
      </c>
      <c r="AV63" t="str">
        <f>+IFERROR(IF(ISBLANK(VLOOKUP(CONCATENATE($F63,"_",AV$4),Corporativa_2,MATCH(AV$3,Corporativa!$F$27:$O$27,0),0)),"",VLOOKUP(CONCATENATE($F63,"_",AV$4),Corporativa_2,MATCH(AV$3,Corporativa!$F$27:$O$27,0),0)),"")</f>
        <v>Se presentaron solicitudes en el ultimo día para recepción que no permitio tramitar dentro del mismo mes.</v>
      </c>
      <c r="AW63" t="str">
        <f>+IFERROR(IF(ISBLANK(VLOOKUP(CONCATENATE($F63,"_",AW$4),Corporativa_2,MATCH(AW$3,Corporativa!$F$27:$O$27,0),0)),"",VLOOKUP(CONCATENATE($F63,"_",AW$4),Corporativa_2,MATCH(AW$3,Corporativa!$F$27:$O$27,0),0)),"")</f>
        <v>Se evidencia la atención oportuna de las solicitudes de las diferentecs dependencias, las cuales se registran en el CI</v>
      </c>
      <c r="AX63">
        <f>+IFERROR(IF(ISBLANK(VLOOKUP(CONCATENATE($F63,"_",AX$4),Corporativa_2,MATCH(AX$3,Corporativa!$F$27:$O$27,0),0)),"",VLOOKUP(CONCATENATE($F63,"_",AX$4),Corporativa_2,MATCH(AX$3,Corporativa!$F$27:$O$27,0),0)),"")</f>
        <v>405</v>
      </c>
      <c r="AY63">
        <f>+IFERROR(IF(ISBLANK(VLOOKUP(CONCATENATE($F63,"_",AY$4),Corporativa_2,MATCH(AY$3,Corporativa!$F$27:$O$27,0),0)),"",VLOOKUP(CONCATENATE($F63,"_",AY$4),Corporativa_2,MATCH(AY$3,Corporativa!$F$27:$O$27,0),0)),"")</f>
        <v>593</v>
      </c>
      <c r="AZ63" t="str">
        <f>+IFERROR(IF(ISBLANK(VLOOKUP(CONCATENATE($F63,"_",AZ$4),Corporativa_2,MATCH(AZ$3,Corporativa!$F$27:$O$27,0),0)),"",VLOOKUP(CONCATENATE($F63,"_",AZ$4),Corporativa_2,MATCH(AZ$3,Corporativa!$F$27:$O$27,0),0)),"")</f>
        <v>Se reciben en tota 593 solicitudes de las cuales 10 corresponden a ingreso de elementos, 10 a solicitud de elementos de consumo, 540 a traslado entre funcionarios, 17  traslado funcionario a bodega. De este total fueron atendidas dentro de los tiempos establecidos 405 solicitudes, lo que corresponde a un 68%.</v>
      </c>
      <c r="BA63" t="str">
        <f>+IFERROR(IF(ISBLANK(VLOOKUP(CONCATENATE($F63,"_",BA$4),Corporativa_2,MATCH(BA$3,Corporativa!$F$27:$O$27,0),0)),"",VLOOKUP(CONCATENATE($F63,"_",BA$4),Corporativa_2,MATCH(BA$3,Corporativa!$F$27:$O$27,0),0)),"")</f>
        <v>Insuficiencia de personal para atender las solicitudes debido a vacancia de un cargo auxiliar y toma de vacaciones por parte de otro funcionario.</v>
      </c>
      <c r="BB63" t="str">
        <f>+IFERROR(IF(ISBLANK(VLOOKUP(CONCATENATE($F63,"_",BB$4),Corporativa_2,MATCH(BB$3,Corporativa!$F$27:$O$27,0),0)),"",VLOOKUP(CONCATENATE($F63,"_",BB$4),Corporativa_2,MATCH(BB$3,Corporativa!$F$27:$O$27,0),0)),"")</f>
        <v>Se evidencia la atención oportuna de las solicitudes de las diferentes dependencias, las cuales se registran en el CI</v>
      </c>
      <c r="BC63">
        <f t="shared" si="10"/>
        <v>1418</v>
      </c>
      <c r="BD63">
        <f t="shared" si="10"/>
        <v>1711</v>
      </c>
      <c r="CI63" t="str">
        <f t="shared" si="45"/>
        <v>Cumple</v>
      </c>
      <c r="CJ63" t="str">
        <f t="shared" si="45"/>
        <v>Anticipado</v>
      </c>
      <c r="CK63" t="str">
        <f t="shared" si="45"/>
        <v>Adecuado</v>
      </c>
      <c r="CL63" t="str">
        <f t="shared" si="45"/>
        <v>Coherente</v>
      </c>
      <c r="CM63" t="str">
        <f t="shared" si="45"/>
        <v>Concuerda</v>
      </c>
      <c r="CN63" t="str">
        <f t="shared" si="45"/>
        <v>No aplica</v>
      </c>
      <c r="CO63" t="str">
        <f t="shared" si="45"/>
        <v>No aplica</v>
      </c>
      <c r="CP63" t="str">
        <f t="shared" si="45"/>
        <v>Adecuado</v>
      </c>
      <c r="CQ63" t="str">
        <f t="shared" si="45"/>
        <v>Oportuna</v>
      </c>
      <c r="CR63" t="str">
        <f t="shared" si="45"/>
        <v>Ninguna</v>
      </c>
      <c r="CS63" t="str">
        <f t="shared" si="46"/>
        <v>Fernando Escobar Mendoza</v>
      </c>
      <c r="CT63" t="str">
        <f t="shared" si="46"/>
        <v>No aplica</v>
      </c>
      <c r="CU63" t="str">
        <f t="shared" si="46"/>
        <v>Satisfactorio</v>
      </c>
      <c r="CV63" t="str">
        <f t="shared" si="46"/>
        <v>Adecuado</v>
      </c>
      <c r="CW63" t="str">
        <f t="shared" si="46"/>
        <v>Coherente</v>
      </c>
      <c r="CX63" t="str">
        <f t="shared" si="46"/>
        <v>Concuerda</v>
      </c>
      <c r="CY63" t="str">
        <f t="shared" si="46"/>
        <v>Concuerda</v>
      </c>
      <c r="CZ63" t="str">
        <f t="shared" si="46"/>
        <v>No aplica</v>
      </c>
      <c r="DA63" t="str">
        <f t="shared" si="46"/>
        <v>Adecuado</v>
      </c>
      <c r="DB63" t="str">
        <f t="shared" si="46"/>
        <v>Oportuna</v>
      </c>
      <c r="DC63" t="str">
        <f t="shared" si="47"/>
        <v>En fuentes de infromación se hace referencia a "Informe de acuerdo a información desagregada del sistema de correspondencia interna del SAI"; en la evidencias aparece un archivo de excel denominado "Consolidado de solicitudes Junio" que muesdtra una tabla de solicitudes clasificadas por tipo y el porcentaje de cumplimiento, en cionsecuencia se debería hacer referencia es al reporte del sistema y no aun informe como fuente de información del indicador.</v>
      </c>
      <c r="DD63" t="str">
        <f t="shared" si="47"/>
        <v>Fernando Escobar Mendoza</v>
      </c>
      <c r="DE63" t="e">
        <f t="shared" si="47"/>
        <v>#REF!</v>
      </c>
      <c r="DF63" t="e">
        <f t="shared" si="47"/>
        <v>#REF!</v>
      </c>
      <c r="DG63" t="e">
        <f t="shared" si="47"/>
        <v>#REF!</v>
      </c>
      <c r="DH63" t="e">
        <f t="shared" si="47"/>
        <v>#REF!</v>
      </c>
      <c r="DI63" t="e">
        <f t="shared" si="47"/>
        <v>#REF!</v>
      </c>
      <c r="DJ63" t="e">
        <f t="shared" si="47"/>
        <v>#REF!</v>
      </c>
      <c r="DK63" t="e">
        <f t="shared" si="47"/>
        <v>#REF!</v>
      </c>
      <c r="DL63" t="e">
        <f t="shared" si="47"/>
        <v>#REF!</v>
      </c>
      <c r="DM63" t="e">
        <f t="shared" si="48"/>
        <v>#REF!</v>
      </c>
      <c r="DN63" t="e">
        <f t="shared" si="48"/>
        <v>#REF!</v>
      </c>
      <c r="DO63" t="e">
        <f t="shared" si="48"/>
        <v>#REF!</v>
      </c>
      <c r="DP63" t="e">
        <f t="shared" si="48"/>
        <v>#REF!</v>
      </c>
      <c r="DQ63" t="e">
        <f t="shared" si="48"/>
        <v>#REF!</v>
      </c>
      <c r="DR63" t="e">
        <f t="shared" si="48"/>
        <v>#REF!</v>
      </c>
      <c r="DS63" t="e">
        <f t="shared" si="48"/>
        <v>#REF!</v>
      </c>
      <c r="DT63" t="e">
        <f t="shared" si="48"/>
        <v>#REF!</v>
      </c>
      <c r="DU63" t="e">
        <f t="shared" si="48"/>
        <v>#REF!</v>
      </c>
      <c r="DV63" t="e">
        <f t="shared" si="48"/>
        <v>#REF!</v>
      </c>
      <c r="DW63" t="e">
        <f t="shared" si="48"/>
        <v>#REF!</v>
      </c>
      <c r="DX63" t="e">
        <f t="shared" si="48"/>
        <v>#REF!</v>
      </c>
    </row>
    <row r="64" spans="1:128" x14ac:dyDescent="0.3">
      <c r="A64" s="423">
        <f t="shared" si="49"/>
        <v>129</v>
      </c>
      <c r="B64" t="str">
        <f t="shared" si="50"/>
        <v>4_Subdirección de Servicios Administrativos</v>
      </c>
      <c r="C64">
        <f t="shared" si="8"/>
        <v>4</v>
      </c>
      <c r="D64" t="str">
        <f t="shared" si="0"/>
        <v>Subdirección de Servicios Administrativos</v>
      </c>
      <c r="E64" t="str">
        <f t="shared" si="51"/>
        <v>ssa</v>
      </c>
      <c r="F64" s="207">
        <f>Corporativa!D18</f>
        <v>129</v>
      </c>
      <c r="G64" t="str">
        <f t="shared" si="52"/>
        <v>Constante</v>
      </c>
      <c r="H64" t="str">
        <f t="shared" si="52"/>
        <v>Porcentaje</v>
      </c>
      <c r="I64">
        <f t="shared" si="52"/>
        <v>0.9</v>
      </c>
      <c r="J64">
        <f t="shared" si="52"/>
        <v>0.95</v>
      </c>
      <c r="K64" t="str">
        <f>+IFERROR(VLOOKUP($F64,Corporativa_1,MATCH(K$5,Corporativa!$D$9:$V$9,0),0),"")</f>
        <v>Constante</v>
      </c>
      <c r="L64" t="str">
        <f>+IFERROR(VLOOKUP($F64,Corporativa_1,MATCH(L$5,Corporativa!$D$9:$V$9,0),0),"")</f>
        <v/>
      </c>
      <c r="M64">
        <f t="shared" si="40"/>
        <v>285</v>
      </c>
      <c r="N64">
        <f>+IFERROR(VLOOKUP($F64,Corporativa_1,MATCH(N$5,Corporativa!$D$9:$V$9,0),0),"")</f>
        <v>95</v>
      </c>
      <c r="O64">
        <f>+IFERROR(VLOOKUP($F64,Corporativa_1,MATCH(O$5,Corporativa!$D$9:$V$9,0),0),"")</f>
        <v>95</v>
      </c>
      <c r="P64">
        <f>+IFERROR(VLOOKUP($F64,Corporativa_1,MATCH(P$5,Corporativa!$D$9:$V$9,0),0),"")</f>
        <v>95</v>
      </c>
      <c r="Q64">
        <f>+IFERROR(VLOOKUP($F64,Corporativa_1,MATCH(Q$5,Corporativa!$D$9:$V$9,0),0),"")</f>
        <v>95</v>
      </c>
      <c r="R64">
        <f>+IFERROR(VLOOKUP($F64,Corporativa_1,MATCH(R$5,Corporativa!$D$9:$V$9,0),0),"")</f>
        <v>95</v>
      </c>
      <c r="S64">
        <f>+IFERROR(VLOOKUP($F64,Corporativa_1,MATCH(S$5,Corporativa!$D$9:$V$9,0),0),"")</f>
        <v>95</v>
      </c>
      <c r="T64">
        <f>+IFERROR(VLOOKUP($F64,Corporativa_1,MATCH(T$5,Corporativa!$D$9:$V$9,0),0),"")</f>
        <v>95</v>
      </c>
      <c r="U64" t="str">
        <f>+IFERROR(VLOOKUP($F64,Corporativa_1,MATCH(U$5,Corporativa!$D$9:$V$9,0),0),"")</f>
        <v>Medir el nivel de satisfacción del usuario frente a la entrega oportuna de los elementos de consumo.  Con este indicador se pretende: medir los tiempos de entrega, calidad del servicio por parte de los servidores del proceso de Recursos Físicos</v>
      </c>
      <c r="V64" t="str">
        <f>+IFERROR(VLOOKUP($F64,Corporativa_1,MATCH(V$5,Corporativa!$D$9:$V$9,0),0),"")</f>
        <v xml:space="preserve">• Entregar elementos de consumo satisfactoriamente </v>
      </c>
      <c r="W64" t="str">
        <f>+IFERROR(VLOOKUP($F64,Corporativa_1,MATCH(W$5,Corporativa!$D$9:$V$9,0),0),"")</f>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
      <c r="X64" t="str">
        <f>+IFERROR(VLOOKUP($F64,Corporativa_1,MATCH(X$5,Corporativa!$D$9:$V$9,0),0),"")</f>
        <v>* Encuestas de satisfacción aplicadas.
* Tabulación de encuestas de satisfacción</v>
      </c>
      <c r="Y64">
        <f>+IFERROR(IF(ISBLANK(VLOOKUP(CONCATENATE($F64,"_",Y$4),Corporativa_2,MATCH(Y$3,Corporativa!$F$27:$O$27,0),0)),"",VLOOKUP(CONCATENATE($F64,"_",Y$4),Corporativa_2,MATCH(Y$3,Corporativa!$F$27:$O$27,0),0)),"")</f>
        <v>100</v>
      </c>
      <c r="Z64">
        <f>+IFERROR(IF(ISBLANK(VLOOKUP(CONCATENATE($F64,"_",Z$4),Corporativa_2,MATCH(Z$3,Corporativa!$F$27:$O$27,0),0)),"",VLOOKUP(CONCATENATE($F64,"_",Z$4),Corporativa_2,MATCH(Z$3,Corporativa!$F$27:$O$27,0),0)),"")</f>
        <v>100</v>
      </c>
      <c r="AA64" t="str">
        <f>+IFERROR(IF(ISBLANK(VLOOKUP(CONCATENATE($F64,"_",AA$4),Corporativa_2,MATCH(AA$3,Corporativa!$F$27:$O$27,0),0)),"",VLOOKUP(CONCATENATE($F64,"_",AA$4),Corporativa_2,MATCH(AA$3,Corporativa!$F$27:$O$27,0),0)),"")</f>
        <v>Se evidencia una satisfaccion del 100% por parte de los usuarios frente al servicio de entrega de elementos de consumo.</v>
      </c>
      <c r="AB64" t="str">
        <f>+IFERROR(IF(ISBLANK(VLOOKUP(CONCATENATE($F64,"_",AB$4),Corporativa_2,MATCH(AB$3,Corporativa!$F$27:$O$27,0),0)),"",VLOOKUP(CONCATENATE($F64,"_",AB$4),Corporativa_2,MATCH(AB$3,Corporativa!$F$27:$O$27,0),0)),"")</f>
        <v>No se presentaron retrasos o dificutades</v>
      </c>
      <c r="AC64" t="str">
        <f>+IFERROR(IF(ISBLANK(VLOOKUP(CONCATENATE($F64,"_",AC$4),Corporativa_2,MATCH(AC$3,Corporativa!$F$27:$O$27,0),0)),"",VLOOKUP(CONCATENATE($F64,"_",AC$4),Corporativa_2,MATCH(AC$3,Corporativa!$F$27:$O$27,0),0)),"")</f>
        <v xml:space="preserve">Alto niveel de satisfacción por parte de las dierentes dependenicas de la entidad, a la hora de la entrega y recibo de elementos de consumo según las solicitudes recibidas. </v>
      </c>
      <c r="AD64">
        <f>+IFERROR(IF(ISBLANK(VLOOKUP(CONCATENATE($F64,"_",AD$4),Corporativa_2,MATCH(AD$3,Corporativa!$F$27:$O$27,0),0)),"",VLOOKUP(CONCATENATE($F64,"_",AD$4),Corporativa_2,MATCH(AD$3,Corporativa!$F$27:$O$27,0),0)),"")</f>
        <v>100</v>
      </c>
      <c r="AE64">
        <f>+IFERROR(IF(ISBLANK(VLOOKUP(CONCATENATE($F64,"_",AE$4),Corporativa_2,MATCH(AE$3,Corporativa!$F$27:$O$27,0),0)),"",VLOOKUP(CONCATENATE($F64,"_",AE$4),Corporativa_2,MATCH(AE$3,Corporativa!$F$27:$O$27,0),0)),"")</f>
        <v>100</v>
      </c>
      <c r="AF64" t="str">
        <f>+IFERROR(IF(ISBLANK(VLOOKUP(CONCATENATE($F64,"_",AF$4),Corporativa_2,MATCH(AF$3,Corporativa!$F$27:$O$27,0),0)),"",VLOOKUP(CONCATENATE($F64,"_",AF$4),Corporativa_2,MATCH(AF$3,Corporativa!$F$27:$O$27,0),0)),"")</f>
        <v>Se evidencia una satisfaccion del 100% por parte de los usuarios frente al servicio de entrega de elementos de consumo.</v>
      </c>
      <c r="AG64" t="str">
        <f>+IFERROR(IF(ISBLANK(VLOOKUP(CONCATENATE($F64,"_",AG$4),Corporativa_2,MATCH(AG$3,Corporativa!$F$27:$O$27,0),0)),"",VLOOKUP(CONCATENATE($F64,"_",AG$4),Corporativa_2,MATCH(AG$3,Corporativa!$F$27:$O$27,0),0)),"")</f>
        <v>No se presentaron retrasos o dificutades</v>
      </c>
      <c r="AH64" t="str">
        <f>+IFERROR(IF(ISBLANK(VLOOKUP(CONCATENATE($F64,"_",AH$4),Corporativa_2,MATCH(AH$3,Corporativa!$F$27:$O$27,0),0)),"",VLOOKUP(CONCATENATE($F64,"_",AH$4),Corporativa_2,MATCH(AH$3,Corporativa!$F$27:$O$27,0),0)),"")</f>
        <v xml:space="preserve">Alto niveel de satisfacción por parte de las dierentes dependenicas de la entidad, a la hora de la entrega y recibo de elementos de consumo según las solicitudes recibidas. </v>
      </c>
      <c r="AI64">
        <f>+IFERROR(IF(ISBLANK(VLOOKUP(CONCATENATE($F64,"_",AI$4),Corporativa_2,MATCH(AI$3,Corporativa!$F$27:$O$27,0),0)),"",VLOOKUP(CONCATENATE($F64,"_",AI$4),Corporativa_2,MATCH(AI$3,Corporativa!$F$27:$O$27,0),0)),"")</f>
        <v>100</v>
      </c>
      <c r="AJ64">
        <f>+IFERROR(IF(ISBLANK(VLOOKUP(CONCATENATE($F64,"_",AJ$4),Corporativa_2,MATCH(AJ$3,Corporativa!$F$27:$O$27,0),0)),"",VLOOKUP(CONCATENATE($F64,"_",AJ$4),Corporativa_2,MATCH(AJ$3,Corporativa!$F$27:$O$27,0),0)),"")</f>
        <v>100</v>
      </c>
      <c r="AK64" t="str">
        <f>+IFERROR(IF(ISBLANK(VLOOKUP(CONCATENATE($F64,"_",AK$4),Corporativa_2,MATCH(AK$3,Corporativa!$F$27:$O$27,0),0)),"",VLOOKUP(CONCATENATE($F64,"_",AK$4),Corporativa_2,MATCH(AK$3,Corporativa!$F$27:$O$27,0),0)),"")</f>
        <v>Se evidencia una satisfaccion del 100% por parte de los usuarios frente al servicio de entrega de elementos de consumo.</v>
      </c>
      <c r="AL64" t="str">
        <f>+IFERROR(IF(ISBLANK(VLOOKUP(CONCATENATE($F64,"_",AL$4),Corporativa_2,MATCH(AL$3,Corporativa!$F$27:$O$27,0),0)),"",VLOOKUP(CONCATENATE($F64,"_",AL$4),Corporativa_2,MATCH(AL$3,Corporativa!$F$27:$O$27,0),0)),"")</f>
        <v>No se presentaron retrasos o dificutades</v>
      </c>
      <c r="AM64" t="str">
        <f>+IFERROR(IF(ISBLANK(VLOOKUP(CONCATENATE($F64,"_",AM$4),Corporativa_2,MATCH(AM$3,Corporativa!$F$27:$O$27,0),0)),"",VLOOKUP(CONCATENATE($F64,"_",AM$4),Corporativa_2,MATCH(AM$3,Corporativa!$F$27:$O$27,0),0)),"")</f>
        <v xml:space="preserve">Alto niveel de satisfacción por parte de las dierentes dependenicas de la entidad, a la hora de la entrega y recibo de elementos de consumo según las solicitudes recibidas. </v>
      </c>
      <c r="AN64">
        <f>+IFERROR(IF(ISBLANK(VLOOKUP(CONCATENATE($F64,"_",AN$4),Corporativa_2,MATCH(AN$3,Corporativa!$F$27:$O$27,0),0)),"",VLOOKUP(CONCATENATE($F64,"_",AN$4),Corporativa_2,MATCH(AN$3,Corporativa!$F$27:$O$27,0),0)),"")</f>
        <v>100</v>
      </c>
      <c r="AO64">
        <f>+IFERROR(IF(ISBLANK(VLOOKUP(CONCATENATE($F64,"_",AO$4),Corporativa_2,MATCH(AO$3,Corporativa!$F$27:$O$27,0),0)),"",VLOOKUP(CONCATENATE($F64,"_",AO$4),Corporativa_2,MATCH(AO$3,Corporativa!$F$27:$O$27,0),0)),"")</f>
        <v>100</v>
      </c>
      <c r="AP64" t="str">
        <f>+IFERROR(IF(ISBLANK(VLOOKUP(CONCATENATE($F64,"_",AP$4),Corporativa_2,MATCH(AP$3,Corporativa!$F$27:$O$27,0),0)),"",VLOOKUP(CONCATENATE($F64,"_",AP$4),Corporativa_2,MATCH(AP$3,Corporativa!$F$27:$O$27,0),0)),"")</f>
        <v>Se evidencia una satisfaccion del 100% por parte de los usuarios frente al servicio de entrega de elementos de consumo.</v>
      </c>
      <c r="AQ64" t="str">
        <f>+IFERROR(IF(ISBLANK(VLOOKUP(CONCATENATE($F64,"_",AQ$4),Corporativa_2,MATCH(AQ$3,Corporativa!$F$27:$O$27,0),0)),"",VLOOKUP(CONCATENATE($F64,"_",AQ$4),Corporativa_2,MATCH(AQ$3,Corporativa!$F$27:$O$27,0),0)),"")</f>
        <v>No se presentaron retrasos o dificutades</v>
      </c>
      <c r="AR64" t="str">
        <f>+IFERROR(IF(ISBLANK(VLOOKUP(CONCATENATE($F64,"_",AR$4),Corporativa_2,MATCH(AR$3,Corporativa!$F$27:$O$27,0),0)),"",VLOOKUP(CONCATENATE($F64,"_",AR$4),Corporativa_2,MATCH(AR$3,Corporativa!$F$27:$O$27,0),0)),"")</f>
        <v xml:space="preserve">Alto niveel de satisfacción por parte de las dierentes dependenicas de la entidad, a la hora de la entrega y recibo de elementos de consumo según las solicitudes recibidas. </v>
      </c>
      <c r="AS64">
        <f>+IFERROR(IF(ISBLANK(VLOOKUP(CONCATENATE($F64,"_",AS$4),Corporativa_2,MATCH(AS$3,Corporativa!$F$27:$O$27,0),0)),"",VLOOKUP(CONCATENATE($F64,"_",AS$4),Corporativa_2,MATCH(AS$3,Corporativa!$F$27:$O$27,0),0)),"")</f>
        <v>100</v>
      </c>
      <c r="AT64">
        <f>+IFERROR(IF(ISBLANK(VLOOKUP(CONCATENATE($F64,"_",AT$4),Corporativa_2,MATCH(AT$3,Corporativa!$F$27:$O$27,0),0)),"",VLOOKUP(CONCATENATE($F64,"_",AT$4),Corporativa_2,MATCH(AT$3,Corporativa!$F$27:$O$27,0),0)),"")</f>
        <v>100</v>
      </c>
      <c r="AU64" t="str">
        <f>+IFERROR(IF(ISBLANK(VLOOKUP(CONCATENATE($F64,"_",AU$4),Corporativa_2,MATCH(AU$3,Corporativa!$F$27:$O$27,0),0)),"",VLOOKUP(CONCATENATE($F64,"_",AU$4),Corporativa_2,MATCH(AU$3,Corporativa!$F$27:$O$27,0),0)),"")</f>
        <v>Se evidencia una satisfaccion del 100% por parte de los usuarios frente al servicio de entrega de elementos de consumo.</v>
      </c>
      <c r="AV64" t="str">
        <f>+IFERROR(IF(ISBLANK(VLOOKUP(CONCATENATE($F64,"_",AV$4),Corporativa_2,MATCH(AV$3,Corporativa!$F$27:$O$27,0),0)),"",VLOOKUP(CONCATENATE($F64,"_",AV$4),Corporativa_2,MATCH(AV$3,Corporativa!$F$27:$O$27,0),0)),"")</f>
        <v>No se presentaron retrasos o dificutades</v>
      </c>
      <c r="AW64" t="str">
        <f>+IFERROR(IF(ISBLANK(VLOOKUP(CONCATENATE($F64,"_",AW$4),Corporativa_2,MATCH(AW$3,Corporativa!$F$27:$O$27,0),0)),"",VLOOKUP(CONCATENATE($F64,"_",AW$4),Corporativa_2,MATCH(AW$3,Corporativa!$F$27:$O$27,0),0)),"")</f>
        <v xml:space="preserve">Alto niveel de satisfacción por parte de las dierentes dependenicas de la entidad, a la hora de la entrega y recibo de elementos de consumo según las solicitudes recibidas. </v>
      </c>
      <c r="AX64">
        <f>+IFERROR(IF(ISBLANK(VLOOKUP(CONCATENATE($F64,"_",AX$4),Corporativa_2,MATCH(AX$3,Corporativa!$F$27:$O$27,0),0)),"",VLOOKUP(CONCATENATE($F64,"_",AX$4),Corporativa_2,MATCH(AX$3,Corporativa!$F$27:$O$27,0),0)),"")</f>
        <v>100</v>
      </c>
      <c r="AY64">
        <f>+IFERROR(IF(ISBLANK(VLOOKUP(CONCATENATE($F64,"_",AY$4),Corporativa_2,MATCH(AY$3,Corporativa!$F$27:$O$27,0),0)),"",VLOOKUP(CONCATENATE($F64,"_",AY$4),Corporativa_2,MATCH(AY$3,Corporativa!$F$27:$O$27,0),0)),"")</f>
        <v>100</v>
      </c>
      <c r="AZ64" t="str">
        <f>+IFERROR(IF(ISBLANK(VLOOKUP(CONCATENATE($F64,"_",AZ$4),Corporativa_2,MATCH(AZ$3,Corporativa!$F$27:$O$27,0),0)),"",VLOOKUP(CONCATENATE($F64,"_",AZ$4),Corporativa_2,MATCH(AZ$3,Corporativa!$F$27:$O$27,0),0)),"")</f>
        <v>Se evidencia una satisfaccion del 100% por parte de los usuarios frente al servicio de entrega de elementos de consumo.</v>
      </c>
      <c r="BA64" t="str">
        <f>+IFERROR(IF(ISBLANK(VLOOKUP(CONCATENATE($F64,"_",BA$4),Corporativa_2,MATCH(BA$3,Corporativa!$F$27:$O$27,0),0)),"",VLOOKUP(CONCATENATE($F64,"_",BA$4),Corporativa_2,MATCH(BA$3,Corporativa!$F$27:$O$27,0),0)),"")</f>
        <v>No se presentaron retrasos o dificutades</v>
      </c>
      <c r="BB64" t="str">
        <f>+IFERROR(IF(ISBLANK(VLOOKUP(CONCATENATE($F64,"_",BB$4),Corporativa_2,MATCH(BB$3,Corporativa!$F$27:$O$27,0),0)),"",VLOOKUP(CONCATENATE($F64,"_",BB$4),Corporativa_2,MATCH(BB$3,Corporativa!$F$27:$O$27,0),0)),"")</f>
        <v xml:space="preserve">Alto niveel de satisfacción por parte de las dierentes dependenicas de la entidad, a la hora de la entrega y recibo de elementos de consumo según las solicitudes recibidas. </v>
      </c>
      <c r="BC64">
        <f t="shared" si="10"/>
        <v>600</v>
      </c>
      <c r="BD64">
        <f t="shared" si="10"/>
        <v>600</v>
      </c>
      <c r="CI64" t="str">
        <f t="shared" si="45"/>
        <v>Cumple</v>
      </c>
      <c r="CJ64" t="str">
        <f t="shared" si="45"/>
        <v>Anticipado</v>
      </c>
      <c r="CK64" t="str">
        <f t="shared" si="45"/>
        <v>Adecuado</v>
      </c>
      <c r="CL64" t="str">
        <f t="shared" si="45"/>
        <v>Coherente</v>
      </c>
      <c r="CM64" t="str">
        <f t="shared" si="45"/>
        <v>Concuerda</v>
      </c>
      <c r="CN64" t="str">
        <f t="shared" si="45"/>
        <v>No aplica</v>
      </c>
      <c r="CO64" t="str">
        <f t="shared" si="45"/>
        <v>No aplica</v>
      </c>
      <c r="CP64" t="str">
        <f t="shared" si="45"/>
        <v>Adecuado</v>
      </c>
      <c r="CQ64" t="str">
        <f t="shared" si="45"/>
        <v>Oportuna</v>
      </c>
      <c r="CR64" t="str">
        <f t="shared" si="45"/>
        <v>Ninguna</v>
      </c>
      <c r="CS64" t="str">
        <f t="shared" si="46"/>
        <v>Fernando Escobar Mendoza</v>
      </c>
      <c r="CT64" t="str">
        <f t="shared" si="46"/>
        <v>No aplica</v>
      </c>
      <c r="CU64" t="str">
        <f t="shared" si="46"/>
        <v>Cumplido</v>
      </c>
      <c r="CV64" t="str">
        <f t="shared" si="46"/>
        <v>Adecuado</v>
      </c>
      <c r="CW64" t="str">
        <f t="shared" si="46"/>
        <v>Coherente</v>
      </c>
      <c r="CX64" t="str">
        <f t="shared" si="46"/>
        <v>Concuerda</v>
      </c>
      <c r="CY64" t="str">
        <f t="shared" si="46"/>
        <v>No aplica</v>
      </c>
      <c r="CZ64" t="str">
        <f t="shared" si="46"/>
        <v>No aplica</v>
      </c>
      <c r="DA64" t="str">
        <f t="shared" si="46"/>
        <v>Adecuado</v>
      </c>
      <c r="DB64" t="str">
        <f t="shared" si="46"/>
        <v>Oportuna</v>
      </c>
      <c r="DC64" t="str">
        <f t="shared" si="47"/>
        <v>Se debería reconsiderar la meta para el indicador dado que se superó en el periordo de análisis y los anteriores.</v>
      </c>
      <c r="DD64" t="str">
        <f t="shared" si="47"/>
        <v>Fernando Escobar Mendoza</v>
      </c>
      <c r="DE64" t="e">
        <f t="shared" si="47"/>
        <v>#REF!</v>
      </c>
      <c r="DF64" t="e">
        <f t="shared" si="47"/>
        <v>#REF!</v>
      </c>
      <c r="DG64" t="e">
        <f t="shared" si="47"/>
        <v>#REF!</v>
      </c>
      <c r="DH64" t="e">
        <f t="shared" si="47"/>
        <v>#REF!</v>
      </c>
      <c r="DI64" t="e">
        <f t="shared" si="47"/>
        <v>#REF!</v>
      </c>
      <c r="DJ64" t="e">
        <f t="shared" si="47"/>
        <v>#REF!</v>
      </c>
      <c r="DK64" t="e">
        <f t="shared" si="47"/>
        <v>#REF!</v>
      </c>
      <c r="DL64" t="e">
        <f t="shared" si="47"/>
        <v>#REF!</v>
      </c>
      <c r="DM64" t="e">
        <f t="shared" si="48"/>
        <v>#REF!</v>
      </c>
      <c r="DN64" t="e">
        <f t="shared" si="48"/>
        <v>#REF!</v>
      </c>
      <c r="DO64" t="e">
        <f t="shared" si="48"/>
        <v>#REF!</v>
      </c>
      <c r="DP64" t="e">
        <f t="shared" si="48"/>
        <v>#REF!</v>
      </c>
      <c r="DQ64" t="e">
        <f t="shared" si="48"/>
        <v>#REF!</v>
      </c>
      <c r="DR64" t="e">
        <f t="shared" si="48"/>
        <v>#REF!</v>
      </c>
      <c r="DS64" t="e">
        <f t="shared" si="48"/>
        <v>#REF!</v>
      </c>
      <c r="DT64" t="e">
        <f t="shared" si="48"/>
        <v>#REF!</v>
      </c>
      <c r="DU64" t="e">
        <f t="shared" si="48"/>
        <v>#REF!</v>
      </c>
      <c r="DV64" t="e">
        <f t="shared" si="48"/>
        <v>#REF!</v>
      </c>
      <c r="DW64" t="e">
        <f t="shared" si="48"/>
        <v>#REF!</v>
      </c>
      <c r="DX64" t="e">
        <f t="shared" si="48"/>
        <v>#REF!</v>
      </c>
    </row>
    <row r="65" spans="1:128" x14ac:dyDescent="0.3">
      <c r="A65" s="423" t="str">
        <f t="shared" si="49"/>
        <v>121 (SS)</v>
      </c>
      <c r="B65" t="str">
        <f t="shared" si="50"/>
        <v>1_Subdirección Financiera</v>
      </c>
      <c r="C65">
        <f t="shared" si="8"/>
        <v>1</v>
      </c>
      <c r="D65" t="str">
        <f t="shared" si="0"/>
        <v>Subdirección Financiera</v>
      </c>
      <c r="E65" t="str">
        <f t="shared" si="51"/>
        <v>fin</v>
      </c>
      <c r="F65" s="207" t="str">
        <f>Corporativa!D19</f>
        <v>121 (SS)</v>
      </c>
      <c r="G65" t="str">
        <f t="shared" si="52"/>
        <v>Suma</v>
      </c>
      <c r="H65" t="str">
        <f t="shared" si="52"/>
        <v>Número</v>
      </c>
      <c r="I65">
        <f t="shared" si="52"/>
        <v>3</v>
      </c>
      <c r="J65">
        <f t="shared" si="52"/>
        <v>3</v>
      </c>
      <c r="K65" t="str">
        <f>+IFERROR(VLOOKUP($F65,Corporativa_1,MATCH(K$5,Corporativa!$D$9:$V$9,0),0),"")</f>
        <v>Suma</v>
      </c>
      <c r="L65">
        <f>+IFERROR(VLOOKUP($F65,Corporativa_1,MATCH(L$5,Corporativa!$D$9:$V$9,0),0),"")</f>
        <v>0</v>
      </c>
      <c r="M65">
        <f t="shared" si="40"/>
        <v>0</v>
      </c>
      <c r="N65">
        <f>+IFERROR(VLOOKUP($F65,Corporativa_1,MATCH(N$5,Corporativa!$D$9:$V$9,0),0),"")</f>
        <v>0</v>
      </c>
      <c r="O65">
        <f>+IFERROR(VLOOKUP($F65,Corporativa_1,MATCH(O$5,Corporativa!$D$9:$V$9,0),0),"")</f>
        <v>0</v>
      </c>
      <c r="P65">
        <f>+IFERROR(VLOOKUP($F65,Corporativa_1,MATCH(P$5,Corporativa!$D$9:$V$9,0),0),"")</f>
        <v>0</v>
      </c>
      <c r="Q65">
        <f>+IFERROR(VLOOKUP($F65,Corporativa_1,MATCH(Q$5,Corporativa!$D$9:$V$9,0),0),"")</f>
        <v>0</v>
      </c>
      <c r="R65">
        <f>+IFERROR(VLOOKUP($F65,Corporativa_1,MATCH(R$5,Corporativa!$D$9:$V$9,0),0),"")</f>
        <v>0</v>
      </c>
      <c r="S65">
        <f>+IFERROR(VLOOKUP($F65,Corporativa_1,MATCH(S$5,Corporativa!$D$9:$V$9,0),0),"")</f>
        <v>0</v>
      </c>
      <c r="T65">
        <f>+IFERROR(VLOOKUP($F65,Corporativa_1,MATCH(T$5,Corporativa!$D$9:$V$9,0),0),"")</f>
        <v>1</v>
      </c>
      <c r="U65" t="str">
        <f>+IFERROR(VLOOKUP($F65,Corporativa_1,MATCH(U$5,Corporativa!$D$9:$V$9,0),0),"")</f>
        <v>Jornadas de socialización relacionadas a la programación y/o ejecución de recursos.</v>
      </c>
      <c r="V65" t="str">
        <f>+IFERROR(VLOOKUP($F65,Corporativa_1,MATCH(V$5,Corporativa!$D$9:$V$9,0),0),"")</f>
        <v>• Estructurar jornadas de socialización frente a la programación y ejecución de recursos. 
Preparar el material para las jornadas de socialización.
Desarrollar las jornadas de socialización.</v>
      </c>
      <c r="W65" t="str">
        <f>+IFERROR(VLOOKUP($F65,Corporativa_1,MATCH(W$5,Corporativa!$D$9:$V$9,0),0),"")</f>
        <v xml:space="preserve">* Alcanzar niveles óptimos de ejecución en los recursos asignados a las dependencias
* Transferencia del conocimiento 
* Contribuir a las gestión de las dependencias ejecutoras y la Subdirección Financiera
* Prevención de riesgos. </v>
      </c>
      <c r="X65" t="str">
        <f>+IFERROR(VLOOKUP($F65,Corporativa_1,MATCH(X$5,Corporativa!$D$9:$V$9,0),0),"")</f>
        <v>*Convocatorias
* Material dispuesto para las capacitaciones
* Listas de asistencias a las jornadas realizadas.</v>
      </c>
      <c r="Y65" t="str">
        <f>+IFERROR(IF(ISBLANK(VLOOKUP(CONCATENATE($F65,"_",Y$4),Corporativa_2,MATCH(Y$3,Corporativa!$F$27:$O$27,0),0)),"",VLOOKUP(CONCATENATE($F65,"_",Y$4),Corporativa_2,MATCH(Y$3,Corporativa!$F$27:$O$27,0),0)),"")</f>
        <v/>
      </c>
      <c r="Z65" t="str">
        <f>+IFERROR(IF(ISBLANK(VLOOKUP(CONCATENATE($F65,"_",Z$4),Corporativa_2,MATCH(Z$3,Corporativa!$F$27:$O$27,0),0)),"",VLOOKUP(CONCATENATE($F65,"_",Z$4),Corporativa_2,MATCH(Z$3,Corporativa!$F$27:$O$27,0),0)),"")</f>
        <v/>
      </c>
      <c r="AA65" t="str">
        <f>+IFERROR(IF(ISBLANK(VLOOKUP(CONCATENATE($F65,"_",AA$4),Corporativa_2,MATCH(AA$3,Corporativa!$F$27:$O$27,0),0)),"",VLOOKUP(CONCATENATE($F65,"_",AA$4),Corporativa_2,MATCH(AA$3,Corporativa!$F$27:$O$27,0),0)),"")</f>
        <v/>
      </c>
      <c r="AB65" t="str">
        <f>+IFERROR(IF(ISBLANK(VLOOKUP(CONCATENATE($F65,"_",AB$4),Corporativa_2,MATCH(AB$3,Corporativa!$F$27:$O$27,0),0)),"",VLOOKUP(CONCATENATE($F65,"_",AB$4),Corporativa_2,MATCH(AB$3,Corporativa!$F$27:$O$27,0),0)),"")</f>
        <v/>
      </c>
      <c r="AC65" t="str">
        <f>+IFERROR(IF(ISBLANK(VLOOKUP(CONCATENATE($F65,"_",AC$4),Corporativa_2,MATCH(AC$3,Corporativa!$F$27:$O$27,0),0)),"",VLOOKUP(CONCATENATE($F65,"_",AC$4),Corporativa_2,MATCH(AC$3,Corporativa!$F$27:$O$27,0),0)),"")</f>
        <v/>
      </c>
      <c r="AD65" t="str">
        <f>+IFERROR(IF(ISBLANK(VLOOKUP(CONCATENATE($F65,"_",AD$4),Corporativa_2,MATCH(AD$3,Corporativa!$F$27:$O$27,0),0)),"",VLOOKUP(CONCATENATE($F65,"_",AD$4),Corporativa_2,MATCH(AD$3,Corporativa!$F$27:$O$27,0),0)),"")</f>
        <v/>
      </c>
      <c r="AE65" t="str">
        <f>+IFERROR(IF(ISBLANK(VLOOKUP(CONCATENATE($F65,"_",AE$4),Corporativa_2,MATCH(AE$3,Corporativa!$F$27:$O$27,0),0)),"",VLOOKUP(CONCATENATE($F65,"_",AE$4),Corporativa_2,MATCH(AE$3,Corporativa!$F$27:$O$27,0),0)),"")</f>
        <v/>
      </c>
      <c r="AF65" t="str">
        <f>+IFERROR(IF(ISBLANK(VLOOKUP(CONCATENATE($F65,"_",AF$4),Corporativa_2,MATCH(AF$3,Corporativa!$F$27:$O$27,0),0)),"",VLOOKUP(CONCATENATE($F65,"_",AF$4),Corporativa_2,MATCH(AF$3,Corporativa!$F$27:$O$27,0),0)),"")</f>
        <v/>
      </c>
      <c r="AG65" t="str">
        <f>+IFERROR(IF(ISBLANK(VLOOKUP(CONCATENATE($F65,"_",AG$4),Corporativa_2,MATCH(AG$3,Corporativa!$F$27:$O$27,0),0)),"",VLOOKUP(CONCATENATE($F65,"_",AG$4),Corporativa_2,MATCH(AG$3,Corporativa!$F$27:$O$27,0),0)),"")</f>
        <v/>
      </c>
      <c r="AH65" t="str">
        <f>+IFERROR(IF(ISBLANK(VLOOKUP(CONCATENATE($F65,"_",AH$4),Corporativa_2,MATCH(AH$3,Corporativa!$F$27:$O$27,0),0)),"",VLOOKUP(CONCATENATE($F65,"_",AH$4),Corporativa_2,MATCH(AH$3,Corporativa!$F$27:$O$27,0),0)),"")</f>
        <v/>
      </c>
      <c r="AI65" t="str">
        <f>+IFERROR(IF(ISBLANK(VLOOKUP(CONCATENATE($F65,"_",AI$4),Corporativa_2,MATCH(AI$3,Corporativa!$F$27:$O$27,0),0)),"",VLOOKUP(CONCATENATE($F65,"_",AI$4),Corporativa_2,MATCH(AI$3,Corporativa!$F$27:$O$27,0),0)),"")</f>
        <v/>
      </c>
      <c r="AJ65" t="str">
        <f>+IFERROR(IF(ISBLANK(VLOOKUP(CONCATENATE($F65,"_",AJ$4),Corporativa_2,MATCH(AJ$3,Corporativa!$F$27:$O$27,0),0)),"",VLOOKUP(CONCATENATE($F65,"_",AJ$4),Corporativa_2,MATCH(AJ$3,Corporativa!$F$27:$O$27,0),0)),"")</f>
        <v/>
      </c>
      <c r="AK65" t="str">
        <f>+IFERROR(IF(ISBLANK(VLOOKUP(CONCATENATE($F65,"_",AK$4),Corporativa_2,MATCH(AK$3,Corporativa!$F$27:$O$27,0),0)),"",VLOOKUP(CONCATENATE($F65,"_",AK$4),Corporativa_2,MATCH(AK$3,Corporativa!$F$27:$O$27,0),0)),"")</f>
        <v/>
      </c>
      <c r="AL65" t="str">
        <f>+IFERROR(IF(ISBLANK(VLOOKUP(CONCATENATE($F65,"_",AL$4),Corporativa_2,MATCH(AL$3,Corporativa!$F$27:$O$27,0),0)),"",VLOOKUP(CONCATENATE($F65,"_",AL$4),Corporativa_2,MATCH(AL$3,Corporativa!$F$27:$O$27,0),0)),"")</f>
        <v/>
      </c>
      <c r="AM65" t="str">
        <f>+IFERROR(IF(ISBLANK(VLOOKUP(CONCATENATE($F65,"_",AM$4),Corporativa_2,MATCH(AM$3,Corporativa!$F$27:$O$27,0),0)),"",VLOOKUP(CONCATENATE($F65,"_",AM$4),Corporativa_2,MATCH(AM$3,Corporativa!$F$27:$O$27,0),0)),"")</f>
        <v/>
      </c>
      <c r="AN65" t="str">
        <f>+IFERROR(IF(ISBLANK(VLOOKUP(CONCATENATE($F65,"_",AN$4),Corporativa_2,MATCH(AN$3,Corporativa!$F$27:$O$27,0),0)),"",VLOOKUP(CONCATENATE($F65,"_",AN$4),Corporativa_2,MATCH(AN$3,Corporativa!$F$27:$O$27,0),0)),"")</f>
        <v/>
      </c>
      <c r="AO65" t="str">
        <f>+IFERROR(IF(ISBLANK(VLOOKUP(CONCATENATE($F65,"_",AO$4),Corporativa_2,MATCH(AO$3,Corporativa!$F$27:$O$27,0),0)),"",VLOOKUP(CONCATENATE($F65,"_",AO$4),Corporativa_2,MATCH(AO$3,Corporativa!$F$27:$O$27,0),0)),"")</f>
        <v/>
      </c>
      <c r="AP65" t="str">
        <f>+IFERROR(IF(ISBLANK(VLOOKUP(CONCATENATE($F65,"_",AP$4),Corporativa_2,MATCH(AP$3,Corporativa!$F$27:$O$27,0),0)),"",VLOOKUP(CONCATENATE($F65,"_",AP$4),Corporativa_2,MATCH(AP$3,Corporativa!$F$27:$O$27,0),0)),"")</f>
        <v/>
      </c>
      <c r="AQ65" t="str">
        <f>+IFERROR(IF(ISBLANK(VLOOKUP(CONCATENATE($F65,"_",AQ$4),Corporativa_2,MATCH(AQ$3,Corporativa!$F$27:$O$27,0),0)),"",VLOOKUP(CONCATENATE($F65,"_",AQ$4),Corporativa_2,MATCH(AQ$3,Corporativa!$F$27:$O$27,0),0)),"")</f>
        <v/>
      </c>
      <c r="AR65" t="str">
        <f>+IFERROR(IF(ISBLANK(VLOOKUP(CONCATENATE($F65,"_",AR$4),Corporativa_2,MATCH(AR$3,Corporativa!$F$27:$O$27,0),0)),"",VLOOKUP(CONCATENATE($F65,"_",AR$4),Corporativa_2,MATCH(AR$3,Corporativa!$F$27:$O$27,0),0)),"")</f>
        <v/>
      </c>
      <c r="AS65" t="str">
        <f>+IFERROR(IF(ISBLANK(VLOOKUP(CONCATENATE($F65,"_",AS$4),Corporativa_2,MATCH(AS$3,Corporativa!$F$27:$O$27,0),0)),"",VLOOKUP(CONCATENATE($F65,"_",AS$4),Corporativa_2,MATCH(AS$3,Corporativa!$F$27:$O$27,0),0)),"")</f>
        <v/>
      </c>
      <c r="AT65" t="str">
        <f>+IFERROR(IF(ISBLANK(VLOOKUP(CONCATENATE($F65,"_",AT$4),Corporativa_2,MATCH(AT$3,Corporativa!$F$27:$O$27,0),0)),"",VLOOKUP(CONCATENATE($F65,"_",AT$4),Corporativa_2,MATCH(AT$3,Corporativa!$F$27:$O$27,0),0)),"")</f>
        <v/>
      </c>
      <c r="AU65" t="str">
        <f>+IFERROR(IF(ISBLANK(VLOOKUP(CONCATENATE($F65,"_",AU$4),Corporativa_2,MATCH(AU$3,Corporativa!$F$27:$O$27,0),0)),"",VLOOKUP(CONCATENATE($F65,"_",AU$4),Corporativa_2,MATCH(AU$3,Corporativa!$F$27:$O$27,0),0)),"")</f>
        <v/>
      </c>
      <c r="AV65" t="str">
        <f>+IFERROR(IF(ISBLANK(VLOOKUP(CONCATENATE($F65,"_",AV$4),Corporativa_2,MATCH(AV$3,Corporativa!$F$27:$O$27,0),0)),"",VLOOKUP(CONCATENATE($F65,"_",AV$4),Corporativa_2,MATCH(AV$3,Corporativa!$F$27:$O$27,0),0)),"")</f>
        <v/>
      </c>
      <c r="AW65" t="str">
        <f>+IFERROR(IF(ISBLANK(VLOOKUP(CONCATENATE($F65,"_",AW$4),Corporativa_2,MATCH(AW$3,Corporativa!$F$27:$O$27,0),0)),"",VLOOKUP(CONCATENATE($F65,"_",AW$4),Corporativa_2,MATCH(AW$3,Corporativa!$F$27:$O$27,0),0)),"")</f>
        <v/>
      </c>
      <c r="AX65" t="str">
        <f>+IFERROR(IF(ISBLANK(VLOOKUP(CONCATENATE($F65,"_",AX$4),Corporativa_2,MATCH(AX$3,Corporativa!$F$27:$O$27,0),0)),"",VLOOKUP(CONCATENATE($F65,"_",AX$4),Corporativa_2,MATCH(AX$3,Corporativa!$F$27:$O$27,0),0)),"")</f>
        <v/>
      </c>
      <c r="AY65" t="str">
        <f>+IFERROR(IF(ISBLANK(VLOOKUP(CONCATENATE($F65,"_",AY$4),Corporativa_2,MATCH(AY$3,Corporativa!$F$27:$O$27,0),0)),"",VLOOKUP(CONCATENATE($F65,"_",AY$4),Corporativa_2,MATCH(AY$3,Corporativa!$F$27:$O$27,0),0)),"")</f>
        <v/>
      </c>
      <c r="AZ65" t="str">
        <f>+IFERROR(IF(ISBLANK(VLOOKUP(CONCATENATE($F65,"_",AZ$4),Corporativa_2,MATCH(AZ$3,Corporativa!$F$27:$O$27,0),0)),"",VLOOKUP(CONCATENATE($F65,"_",AZ$4),Corporativa_2,MATCH(AZ$3,Corporativa!$F$27:$O$27,0),0)),"")</f>
        <v/>
      </c>
      <c r="BA65" t="str">
        <f>+IFERROR(IF(ISBLANK(VLOOKUP(CONCATENATE($F65,"_",BA$4),Corporativa_2,MATCH(BA$3,Corporativa!$F$27:$O$27,0),0)),"",VLOOKUP(CONCATENATE($F65,"_",BA$4),Corporativa_2,MATCH(BA$3,Corporativa!$F$27:$O$27,0),0)),"")</f>
        <v/>
      </c>
      <c r="BB65" t="str">
        <f>+IFERROR(IF(ISBLANK(VLOOKUP(CONCATENATE($F65,"_",BB$4),Corporativa_2,MATCH(BB$3,Corporativa!$F$27:$O$27,0),0)),"",VLOOKUP(CONCATENATE($F65,"_",BB$4),Corporativa_2,MATCH(BB$3,Corporativa!$F$27:$O$27,0),0)),"")</f>
        <v/>
      </c>
      <c r="BC65">
        <f t="shared" si="10"/>
        <v>0</v>
      </c>
      <c r="BD65">
        <f t="shared" si="10"/>
        <v>0</v>
      </c>
      <c r="CI65">
        <f t="shared" si="45"/>
        <v>0</v>
      </c>
      <c r="CJ65">
        <f t="shared" si="45"/>
        <v>0</v>
      </c>
      <c r="CK65">
        <f t="shared" si="45"/>
        <v>0</v>
      </c>
      <c r="CL65">
        <f t="shared" si="45"/>
        <v>0</v>
      </c>
      <c r="CM65">
        <f t="shared" si="45"/>
        <v>0</v>
      </c>
      <c r="CN65">
        <f t="shared" si="45"/>
        <v>0</v>
      </c>
      <c r="CO65">
        <f t="shared" si="45"/>
        <v>0</v>
      </c>
      <c r="CP65">
        <f t="shared" si="45"/>
        <v>0</v>
      </c>
      <c r="CQ65">
        <f t="shared" si="45"/>
        <v>0</v>
      </c>
      <c r="CR65">
        <f t="shared" si="45"/>
        <v>0</v>
      </c>
      <c r="CS65">
        <f t="shared" si="46"/>
        <v>0</v>
      </c>
      <c r="CT65">
        <f t="shared" si="46"/>
        <v>0</v>
      </c>
      <c r="CU65">
        <f t="shared" si="46"/>
        <v>0</v>
      </c>
      <c r="CV65">
        <f t="shared" si="46"/>
        <v>0</v>
      </c>
      <c r="CW65">
        <f t="shared" si="46"/>
        <v>0</v>
      </c>
      <c r="CX65">
        <f t="shared" si="46"/>
        <v>0</v>
      </c>
      <c r="CY65">
        <f t="shared" si="46"/>
        <v>0</v>
      </c>
      <c r="CZ65">
        <f t="shared" si="46"/>
        <v>0</v>
      </c>
      <c r="DA65">
        <f t="shared" si="46"/>
        <v>0</v>
      </c>
      <c r="DB65">
        <f t="shared" si="46"/>
        <v>0</v>
      </c>
      <c r="DC65">
        <f t="shared" si="47"/>
        <v>0</v>
      </c>
      <c r="DD65">
        <f t="shared" si="47"/>
        <v>0</v>
      </c>
      <c r="DE65" t="e">
        <f t="shared" si="47"/>
        <v>#REF!</v>
      </c>
      <c r="DF65" t="e">
        <f t="shared" si="47"/>
        <v>#REF!</v>
      </c>
      <c r="DG65" t="e">
        <f t="shared" si="47"/>
        <v>#REF!</v>
      </c>
      <c r="DH65" t="e">
        <f t="shared" si="47"/>
        <v>#REF!</v>
      </c>
      <c r="DI65" t="e">
        <f t="shared" si="47"/>
        <v>#REF!</v>
      </c>
      <c r="DJ65" t="e">
        <f t="shared" si="47"/>
        <v>#REF!</v>
      </c>
      <c r="DK65" t="e">
        <f t="shared" si="47"/>
        <v>#REF!</v>
      </c>
      <c r="DL65" t="e">
        <f t="shared" si="47"/>
        <v>#REF!</v>
      </c>
      <c r="DM65" t="e">
        <f t="shared" si="48"/>
        <v>#REF!</v>
      </c>
      <c r="DN65" t="e">
        <f t="shared" si="48"/>
        <v>#REF!</v>
      </c>
      <c r="DO65" t="e">
        <f t="shared" si="48"/>
        <v>#REF!</v>
      </c>
      <c r="DP65" t="e">
        <f t="shared" si="48"/>
        <v>#REF!</v>
      </c>
      <c r="DQ65" t="e">
        <f t="shared" si="48"/>
        <v>#REF!</v>
      </c>
      <c r="DR65" t="e">
        <f t="shared" si="48"/>
        <v>#REF!</v>
      </c>
      <c r="DS65" t="e">
        <f t="shared" si="48"/>
        <v>#REF!</v>
      </c>
      <c r="DT65" t="e">
        <f t="shared" si="48"/>
        <v>#REF!</v>
      </c>
      <c r="DU65" t="e">
        <f t="shared" si="48"/>
        <v>#REF!</v>
      </c>
      <c r="DV65" t="e">
        <f t="shared" si="48"/>
        <v>#REF!</v>
      </c>
      <c r="DW65" t="e">
        <f t="shared" si="48"/>
        <v>#REF!</v>
      </c>
      <c r="DX65" t="e">
        <f t="shared" si="48"/>
        <v>#REF!</v>
      </c>
    </row>
    <row r="66" spans="1:128" x14ac:dyDescent="0.3">
      <c r="A66" s="423">
        <f t="shared" si="49"/>
        <v>122</v>
      </c>
      <c r="B66" t="str">
        <f t="shared" si="50"/>
        <v>2_Subdirección Financiera</v>
      </c>
      <c r="C66">
        <f t="shared" si="8"/>
        <v>2</v>
      </c>
      <c r="D66" t="str">
        <f t="shared" si="0"/>
        <v>Subdirección Financiera</v>
      </c>
      <c r="E66" t="str">
        <f t="shared" si="51"/>
        <v>fin</v>
      </c>
      <c r="F66" s="207">
        <f>Corporativa!D20</f>
        <v>122</v>
      </c>
      <c r="G66" t="str">
        <f t="shared" si="52"/>
        <v>Suma</v>
      </c>
      <c r="H66" t="str">
        <f t="shared" si="52"/>
        <v>Número</v>
      </c>
      <c r="I66">
        <f t="shared" si="52"/>
        <v>3</v>
      </c>
      <c r="J66">
        <f t="shared" si="52"/>
        <v>4</v>
      </c>
      <c r="K66" t="str">
        <f>+IFERROR(VLOOKUP($F66,Corporativa_1,MATCH(K$5,Corporativa!$D$9:$V$9,0),0),"")</f>
        <v>Suma</v>
      </c>
      <c r="L66">
        <f>+IFERROR(VLOOKUP($F66,Corporativa_1,MATCH(L$5,Corporativa!$D$9:$V$9,0),0),"")</f>
        <v>2</v>
      </c>
      <c r="M66">
        <f t="shared" si="40"/>
        <v>1</v>
      </c>
      <c r="N66">
        <f>+IFERROR(VLOOKUP($F66,Corporativa_1,MATCH(N$5,Corporativa!$D$9:$V$9,0),0),"")</f>
        <v>1</v>
      </c>
      <c r="O66">
        <f>+IFERROR(VLOOKUP($F66,Corporativa_1,MATCH(O$5,Corporativa!$D$9:$V$9,0),0),"")</f>
        <v>0</v>
      </c>
      <c r="P66">
        <f>+IFERROR(VLOOKUP($F66,Corporativa_1,MATCH(P$5,Corporativa!$D$9:$V$9,0),0),"")</f>
        <v>0</v>
      </c>
      <c r="Q66">
        <f>+IFERROR(VLOOKUP($F66,Corporativa_1,MATCH(Q$5,Corporativa!$D$9:$V$9,0),0),"")</f>
        <v>1</v>
      </c>
      <c r="R66">
        <f>+IFERROR(VLOOKUP($F66,Corporativa_1,MATCH(R$5,Corporativa!$D$9:$V$9,0),0),"")</f>
        <v>0</v>
      </c>
      <c r="S66">
        <f>+IFERROR(VLOOKUP($F66,Corporativa_1,MATCH(S$5,Corporativa!$D$9:$V$9,0),0),"")</f>
        <v>0</v>
      </c>
      <c r="T66">
        <f>+IFERROR(VLOOKUP($F66,Corporativa_1,MATCH(T$5,Corporativa!$D$9:$V$9,0),0),"")</f>
        <v>2</v>
      </c>
      <c r="U66" t="str">
        <f>+IFERROR(VLOOKUP($F66,Corporativa_1,MATCH(U$5,Corporativa!$D$9:$V$9,0),0),"")</f>
        <v>Lineamientos divulgados frente a programación y ejecución de recursos para la vigencia.</v>
      </c>
      <c r="V66" t="str">
        <f>+IFERROR(VLOOKUP($F66,Corporativa_1,MATCH(V$5,Corporativa!$D$9:$V$9,0),0),"")</f>
        <v>• Circulares de lineamientos frente a la programación y ejecución de recursos financieros</v>
      </c>
      <c r="W66" t="str">
        <f>+IFERROR(VLOOKUP($F66,Corporativa_1,MATCH(W$5,Corporativa!$D$9:$V$9,0),0),"")</f>
        <v>* Divulgar y sensibilizar las directrices relacionadas con los temas financieros de interés para las dependencias.
* Contribuir a las gestión de las dependencias ejecutoras y la Subdirección Financiera
* Prevención de riesgos.</v>
      </c>
      <c r="X66" t="str">
        <f>+IFERROR(VLOOKUP($F66,Corporativa_1,MATCH(X$5,Corporativa!$D$9:$V$9,0),0),"")</f>
        <v>* Circulares emitidas, comunicaciones internas y documentos socializados con las dependencias.</v>
      </c>
      <c r="Y66">
        <f>+IFERROR(IF(ISBLANK(VLOOKUP(CONCATENATE($F66,"_",Y$4),Corporativa_2,MATCH(Y$3,Corporativa!$F$27:$O$27,0),0)),"",VLOOKUP(CONCATENATE($F66,"_",Y$4),Corporativa_2,MATCH(Y$3,Corporativa!$F$27:$O$27,0),0)),"")</f>
        <v>1</v>
      </c>
      <c r="Z66">
        <f>+IFERROR(IF(ISBLANK(VLOOKUP(CONCATENATE($F66,"_",Z$4),Corporativa_2,MATCH(Z$3,Corporativa!$F$27:$O$27,0),0)),"",VLOOKUP(CONCATENATE($F66,"_",Z$4),Corporativa_2,MATCH(Z$3,Corporativa!$F$27:$O$27,0),0)),"")</f>
        <v>0</v>
      </c>
      <c r="AA66" t="str">
        <f>+IFERROR(IF(ISBLANK(VLOOKUP(CONCATENATE($F66,"_",AA$4),Corporativa_2,MATCH(AA$3,Corporativa!$F$27:$O$27,0),0)),"",VLOOKUP(CONCATENATE($F66,"_",AA$4),Corporativa_2,MATCH(AA$3,Corporativa!$F$27:$O$27,0),0)),"")</f>
        <v>Se expidió la Circular Nro. 3 de 2020, con los Lineamientos Financieros para la vigencia 2020. Se establece los lineamientos para la administración de los recursos de la vigencia.</v>
      </c>
      <c r="AB66" t="str">
        <f>+IFERROR(IF(ISBLANK(VLOOKUP(CONCATENATE($F66,"_",AB$4),Corporativa_2,MATCH(AB$3,Corporativa!$F$27:$O$27,0),0)),"",VLOOKUP(CONCATENATE($F66,"_",AB$4),Corporativa_2,MATCH(AB$3,Corporativa!$F$27:$O$27,0),0)),"")</f>
        <v>N.A.</v>
      </c>
      <c r="AC66" t="str">
        <f>+IFERROR(IF(ISBLANK(VLOOKUP(CONCATENATE($F66,"_",AC$4),Corporativa_2,MATCH(AC$3,Corporativa!$F$27:$O$27,0),0)),"",VLOOKUP(CONCATENATE($F66,"_",AC$4),Corporativa_2,MATCH(AC$3,Corporativa!$F$27:$O$27,0),0)),"")</f>
        <v>*Presentación oportuna por parte de las áreas para el tramite de cuentas.
*Establecer fechas para la presentación de información financiera como insumos a los estados financieros.
*Se establece el cronograma para reprogramación del PAC de la vigencia y reserva</v>
      </c>
      <c r="AD66">
        <f>+IFERROR(IF(ISBLANK(VLOOKUP(CONCATENATE($F66,"_",AD$4),Corporativa_2,MATCH(AD$3,Corporativa!$F$27:$O$27,0),0)),"",VLOOKUP(CONCATENATE($F66,"_",AD$4),Corporativa_2,MATCH(AD$3,Corporativa!$F$27:$O$27,0),0)),"")</f>
        <v>0</v>
      </c>
      <c r="AE66">
        <f>+IFERROR(IF(ISBLANK(VLOOKUP(CONCATENATE($F66,"_",AE$4),Corporativa_2,MATCH(AE$3,Corporativa!$F$27:$O$27,0),0)),"",VLOOKUP(CONCATENATE($F66,"_",AE$4),Corporativa_2,MATCH(AE$3,Corporativa!$F$27:$O$27,0),0)),"")</f>
        <v>0</v>
      </c>
      <c r="AF66" t="str">
        <f>+IFERROR(IF(ISBLANK(VLOOKUP(CONCATENATE($F66,"_",AF$4),Corporativa_2,MATCH(AF$3,Corporativa!$F$27:$O$27,0),0)),"",VLOOKUP(CONCATENATE($F66,"_",AF$4),Corporativa_2,MATCH(AF$3,Corporativa!$F$27:$O$27,0),0)),"")</f>
        <v>N.A.</v>
      </c>
      <c r="AG66" t="str">
        <f>+IFERROR(IF(ISBLANK(VLOOKUP(CONCATENATE($F66,"_",AG$4),Corporativa_2,MATCH(AG$3,Corporativa!$F$27:$O$27,0),0)),"",VLOOKUP(CONCATENATE($F66,"_",AG$4),Corporativa_2,MATCH(AG$3,Corporativa!$F$27:$O$27,0),0)),"")</f>
        <v>N.A.</v>
      </c>
      <c r="AH66" t="str">
        <f>+IFERROR(IF(ISBLANK(VLOOKUP(CONCATENATE($F66,"_",AH$4),Corporativa_2,MATCH(AH$3,Corporativa!$F$27:$O$27,0),0)),"",VLOOKUP(CONCATENATE($F66,"_",AH$4),Corporativa_2,MATCH(AH$3,Corporativa!$F$27:$O$27,0),0)),"")</f>
        <v>N.A.</v>
      </c>
      <c r="AI66">
        <f>+IFERROR(IF(ISBLANK(VLOOKUP(CONCATENATE($F66,"_",AI$4),Corporativa_2,MATCH(AI$3,Corporativa!$F$27:$O$27,0),0)),"",VLOOKUP(CONCATENATE($F66,"_",AI$4),Corporativa_2,MATCH(AI$3,Corporativa!$F$27:$O$27,0),0)),"")</f>
        <v>0</v>
      </c>
      <c r="AJ66">
        <f>+IFERROR(IF(ISBLANK(VLOOKUP(CONCATENATE($F66,"_",AJ$4),Corporativa_2,MATCH(AJ$3,Corporativa!$F$27:$O$27,0),0)),"",VLOOKUP(CONCATENATE($F66,"_",AJ$4),Corporativa_2,MATCH(AJ$3,Corporativa!$F$27:$O$27,0),0)),"")</f>
        <v>0</v>
      </c>
      <c r="AK66" t="str">
        <f>+IFERROR(IF(ISBLANK(VLOOKUP(CONCATENATE($F66,"_",AK$4),Corporativa_2,MATCH(AK$3,Corporativa!$F$27:$O$27,0),0)),"",VLOOKUP(CONCATENATE($F66,"_",AK$4),Corporativa_2,MATCH(AK$3,Corporativa!$F$27:$O$27,0),0)),"")</f>
        <v>N.A.</v>
      </c>
      <c r="AL66" t="str">
        <f>+IFERROR(IF(ISBLANK(VLOOKUP(CONCATENATE($F66,"_",AL$4),Corporativa_2,MATCH(AL$3,Corporativa!$F$27:$O$27,0),0)),"",VLOOKUP(CONCATENATE($F66,"_",AL$4),Corporativa_2,MATCH(AL$3,Corporativa!$F$27:$O$27,0),0)),"")</f>
        <v>N.A.</v>
      </c>
      <c r="AM66" t="str">
        <f>+IFERROR(IF(ISBLANK(VLOOKUP(CONCATENATE($F66,"_",AM$4),Corporativa_2,MATCH(AM$3,Corporativa!$F$27:$O$27,0),0)),"",VLOOKUP(CONCATENATE($F66,"_",AM$4),Corporativa_2,MATCH(AM$3,Corporativa!$F$27:$O$27,0),0)),"")</f>
        <v>N.A.</v>
      </c>
      <c r="AN66">
        <f>+IFERROR(IF(ISBLANK(VLOOKUP(CONCATENATE($F66,"_",AN$4),Corporativa_2,MATCH(AN$3,Corporativa!$F$27:$O$27,0),0)),"",VLOOKUP(CONCATENATE($F66,"_",AN$4),Corporativa_2,MATCH(AN$3,Corporativa!$F$27:$O$27,0),0)),"")</f>
        <v>1</v>
      </c>
      <c r="AO66">
        <f>+IFERROR(IF(ISBLANK(VLOOKUP(CONCATENATE($F66,"_",AO$4),Corporativa_2,MATCH(AO$3,Corporativa!$F$27:$O$27,0),0)),"",VLOOKUP(CONCATENATE($F66,"_",AO$4),Corporativa_2,MATCH(AO$3,Corporativa!$F$27:$O$27,0),0)),"")</f>
        <v>0</v>
      </c>
      <c r="AP66" t="str">
        <f>+IFERROR(IF(ISBLANK(VLOOKUP(CONCATENATE($F66,"_",AP$4),Corporativa_2,MATCH(AP$3,Corporativa!$F$27:$O$27,0),0)),"",VLOOKUP(CONCATENATE($F66,"_",AP$4),Corporativa_2,MATCH(AP$3,Corporativa!$F$27:$O$27,0),0)),"")</f>
        <v>Se crea la Guía Operativa para el manejo de cuentas por cobrar por concepto de incapacidades</v>
      </c>
      <c r="AQ66" t="str">
        <f>+IFERROR(IF(ISBLANK(VLOOKUP(CONCATENATE($F66,"_",AQ$4),Corporativa_2,MATCH(AQ$3,Corporativa!$F$27:$O$27,0),0)),"",VLOOKUP(CONCATENATE($F66,"_",AQ$4),Corporativa_2,MATCH(AQ$3,Corporativa!$F$27:$O$27,0),0)),"")</f>
        <v>N.A.</v>
      </c>
      <c r="AR66" t="str">
        <f>+IFERROR(IF(ISBLANK(VLOOKUP(CONCATENATE($F66,"_",AR$4),Corporativa_2,MATCH(AR$3,Corporativa!$F$27:$O$27,0),0)),"",VLOOKUP(CONCATENATE($F66,"_",AR$4),Corporativa_2,MATCH(AR$3,Corporativa!$F$27:$O$27,0),0)),"")</f>
        <v>Permite resguardar los intereses económicos de la entidad frente a una posible perdida de esos derechos.</v>
      </c>
      <c r="AS66">
        <f>+IFERROR(IF(ISBLANK(VLOOKUP(CONCATENATE($F66,"_",AS$4),Corporativa_2,MATCH(AS$3,Corporativa!$F$27:$O$27,0),0)),"",VLOOKUP(CONCATENATE($F66,"_",AS$4),Corporativa_2,MATCH(AS$3,Corporativa!$F$27:$O$27,0),0)),"")</f>
        <v>0</v>
      </c>
      <c r="AT66">
        <f>+IFERROR(IF(ISBLANK(VLOOKUP(CONCATENATE($F66,"_",AT$4),Corporativa_2,MATCH(AT$3,Corporativa!$F$27:$O$27,0),0)),"",VLOOKUP(CONCATENATE($F66,"_",AT$4),Corporativa_2,MATCH(AT$3,Corporativa!$F$27:$O$27,0),0)),"")</f>
        <v>0</v>
      </c>
      <c r="AU66" t="str">
        <f>+IFERROR(IF(ISBLANK(VLOOKUP(CONCATENATE($F66,"_",AU$4),Corporativa_2,MATCH(AU$3,Corporativa!$F$27:$O$27,0),0)),"",VLOOKUP(CONCATENATE($F66,"_",AU$4),Corporativa_2,MATCH(AU$3,Corporativa!$F$27:$O$27,0),0)),"")</f>
        <v>N.A.</v>
      </c>
      <c r="AV66" t="str">
        <f>+IFERROR(IF(ISBLANK(VLOOKUP(CONCATENATE($F66,"_",AV$4),Corporativa_2,MATCH(AV$3,Corporativa!$F$27:$O$27,0),0)),"",VLOOKUP(CONCATENATE($F66,"_",AV$4),Corporativa_2,MATCH(AV$3,Corporativa!$F$27:$O$27,0),0)),"")</f>
        <v>N.A.</v>
      </c>
      <c r="AW66" t="str">
        <f>+IFERROR(IF(ISBLANK(VLOOKUP(CONCATENATE($F66,"_",AW$4),Corporativa_2,MATCH(AW$3,Corporativa!$F$27:$O$27,0),0)),"",VLOOKUP(CONCATENATE($F66,"_",AW$4),Corporativa_2,MATCH(AW$3,Corporativa!$F$27:$O$27,0),0)),"")</f>
        <v>N.A.</v>
      </c>
      <c r="AX66">
        <f>+IFERROR(IF(ISBLANK(VLOOKUP(CONCATENATE($F66,"_",AX$4),Corporativa_2,MATCH(AX$3,Corporativa!$F$27:$O$27,0),0)),"",VLOOKUP(CONCATENATE($F66,"_",AX$4),Corporativa_2,MATCH(AX$3,Corporativa!$F$27:$O$27,0),0)),"")</f>
        <v>0</v>
      </c>
      <c r="AY66">
        <f>+IFERROR(IF(ISBLANK(VLOOKUP(CONCATENATE($F66,"_",AY$4),Corporativa_2,MATCH(AY$3,Corporativa!$F$27:$O$27,0),0)),"",VLOOKUP(CONCATENATE($F66,"_",AY$4),Corporativa_2,MATCH(AY$3,Corporativa!$F$27:$O$27,0),0)),"")</f>
        <v>0</v>
      </c>
      <c r="AZ66" t="str">
        <f>+IFERROR(IF(ISBLANK(VLOOKUP(CONCATENATE($F66,"_",AZ$4),Corporativa_2,MATCH(AZ$3,Corporativa!$F$27:$O$27,0),0)),"",VLOOKUP(CONCATENATE($F66,"_",AZ$4),Corporativa_2,MATCH(AZ$3,Corporativa!$F$27:$O$27,0),0)),"")</f>
        <v>N.A.</v>
      </c>
      <c r="BA66" t="str">
        <f>+IFERROR(IF(ISBLANK(VLOOKUP(CONCATENATE($F66,"_",BA$4),Corporativa_2,MATCH(BA$3,Corporativa!$F$27:$O$27,0),0)),"",VLOOKUP(CONCATENATE($F66,"_",BA$4),Corporativa_2,MATCH(BA$3,Corporativa!$F$27:$O$27,0),0)),"")</f>
        <v>N.A.</v>
      </c>
      <c r="BB66" t="str">
        <f>+IFERROR(IF(ISBLANK(VLOOKUP(CONCATENATE($F66,"_",BB$4),Corporativa_2,MATCH(BB$3,Corporativa!$F$27:$O$27,0),0)),"",VLOOKUP(CONCATENATE($F66,"_",BB$4),Corporativa_2,MATCH(BB$3,Corporativa!$F$27:$O$27,0),0)),"")</f>
        <v>N.A.</v>
      </c>
      <c r="BC66">
        <f t="shared" si="10"/>
        <v>2</v>
      </c>
      <c r="BD66">
        <f t="shared" si="10"/>
        <v>0</v>
      </c>
      <c r="CI66" t="str">
        <f t="shared" si="45"/>
        <v>Cumple</v>
      </c>
      <c r="CJ66" t="str">
        <f t="shared" si="45"/>
        <v>Cumplido</v>
      </c>
      <c r="CK66" t="str">
        <f t="shared" si="45"/>
        <v>Adecuado</v>
      </c>
      <c r="CL66" t="str">
        <f t="shared" si="45"/>
        <v>Coherente</v>
      </c>
      <c r="CM66" t="str">
        <f t="shared" si="45"/>
        <v>Concuerda</v>
      </c>
      <c r="CN66" t="str">
        <f t="shared" si="45"/>
        <v>Concuerda</v>
      </c>
      <c r="CO66" t="str">
        <f t="shared" si="45"/>
        <v>Relación directa</v>
      </c>
      <c r="CP66" t="str">
        <f t="shared" si="45"/>
        <v>Adecuado</v>
      </c>
      <c r="CQ66" t="str">
        <f t="shared" si="45"/>
        <v>Oportuna</v>
      </c>
      <c r="CR66" t="str">
        <f t="shared" si="45"/>
        <v>Sin observaciones.</v>
      </c>
      <c r="CS66" t="str">
        <f t="shared" si="46"/>
        <v>Cesar Arcos</v>
      </c>
      <c r="CT66" t="str">
        <f t="shared" si="46"/>
        <v>No aplica</v>
      </c>
      <c r="CU66" t="str">
        <f t="shared" si="46"/>
        <v>No programó</v>
      </c>
      <c r="CV66" t="str">
        <f t="shared" si="46"/>
        <v>No aplica</v>
      </c>
      <c r="CW66" t="str">
        <f t="shared" si="46"/>
        <v>No aplica</v>
      </c>
      <c r="CX66" t="str">
        <f t="shared" si="46"/>
        <v>No aplica</v>
      </c>
      <c r="CY66" t="str">
        <f t="shared" si="46"/>
        <v>No aplica</v>
      </c>
      <c r="CZ66" t="str">
        <f t="shared" si="46"/>
        <v>No aplica</v>
      </c>
      <c r="DA66" t="str">
        <f t="shared" si="46"/>
        <v>No aplica</v>
      </c>
      <c r="DB66" t="str">
        <f t="shared" si="46"/>
        <v>Oportuna</v>
      </c>
      <c r="DC66" t="str">
        <f t="shared" si="47"/>
        <v>Ninguna</v>
      </c>
      <c r="DD66" t="str">
        <f t="shared" si="47"/>
        <v>Cesar Arcos</v>
      </c>
      <c r="DE66" t="e">
        <f t="shared" si="47"/>
        <v>#REF!</v>
      </c>
      <c r="DF66" t="e">
        <f t="shared" si="47"/>
        <v>#REF!</v>
      </c>
      <c r="DG66" t="e">
        <f t="shared" si="47"/>
        <v>#REF!</v>
      </c>
      <c r="DH66" t="e">
        <f t="shared" si="47"/>
        <v>#REF!</v>
      </c>
      <c r="DI66" t="e">
        <f t="shared" si="47"/>
        <v>#REF!</v>
      </c>
      <c r="DJ66" t="e">
        <f t="shared" si="47"/>
        <v>#REF!</v>
      </c>
      <c r="DK66" t="e">
        <f t="shared" si="47"/>
        <v>#REF!</v>
      </c>
      <c r="DL66" t="e">
        <f t="shared" si="47"/>
        <v>#REF!</v>
      </c>
      <c r="DM66" t="e">
        <f t="shared" si="48"/>
        <v>#REF!</v>
      </c>
      <c r="DN66" t="e">
        <f t="shared" si="48"/>
        <v>#REF!</v>
      </c>
      <c r="DO66" t="e">
        <f t="shared" si="48"/>
        <v>#REF!</v>
      </c>
      <c r="DP66" t="e">
        <f t="shared" si="48"/>
        <v>#REF!</v>
      </c>
      <c r="DQ66" t="e">
        <f t="shared" si="48"/>
        <v>#REF!</v>
      </c>
      <c r="DR66" t="e">
        <f t="shared" si="48"/>
        <v>#REF!</v>
      </c>
      <c r="DS66" t="e">
        <f t="shared" si="48"/>
        <v>#REF!</v>
      </c>
      <c r="DT66" t="e">
        <f t="shared" si="48"/>
        <v>#REF!</v>
      </c>
      <c r="DU66" t="e">
        <f t="shared" si="48"/>
        <v>#REF!</v>
      </c>
      <c r="DV66" t="e">
        <f t="shared" si="48"/>
        <v>#REF!</v>
      </c>
      <c r="DW66" t="e">
        <f t="shared" si="48"/>
        <v>#REF!</v>
      </c>
      <c r="DX66" t="e">
        <f t="shared" si="48"/>
        <v>#REF!</v>
      </c>
    </row>
    <row r="67" spans="1:128" x14ac:dyDescent="0.3">
      <c r="A67" s="423">
        <f t="shared" si="49"/>
        <v>124</v>
      </c>
      <c r="B67" t="str">
        <f t="shared" si="50"/>
        <v>3_Subdirección Financiera</v>
      </c>
      <c r="C67">
        <f t="shared" si="8"/>
        <v>3</v>
      </c>
      <c r="D67" t="str">
        <f t="shared" si="0"/>
        <v>Subdirección Financiera</v>
      </c>
      <c r="E67" t="str">
        <f t="shared" si="51"/>
        <v>fin</v>
      </c>
      <c r="F67" s="207">
        <f>Corporativa!D21</f>
        <v>124</v>
      </c>
      <c r="G67" t="str">
        <f t="shared" si="52"/>
        <v>Decreciente</v>
      </c>
      <c r="H67" t="str">
        <f t="shared" si="52"/>
        <v>Número</v>
      </c>
      <c r="I67">
        <f t="shared" si="52"/>
        <v>8</v>
      </c>
      <c r="J67">
        <f t="shared" si="52"/>
        <v>6</v>
      </c>
      <c r="K67" t="str">
        <f>+IFERROR(VLOOKUP($F67,Corporativa_1,MATCH(K$5,Corporativa!$D$9:$V$9,0),0),"")</f>
        <v>Constante</v>
      </c>
      <c r="L67" t="str">
        <f>+IFERROR(VLOOKUP($F67,Corporativa_1,MATCH(L$5,Corporativa!$D$9:$V$9,0),0),"")</f>
        <v/>
      </c>
      <c r="M67">
        <f t="shared" si="40"/>
        <v>18</v>
      </c>
      <c r="N67">
        <f>+IFERROR(VLOOKUP($F67,Corporativa_1,MATCH(N$5,Corporativa!$D$9:$V$9,0),0),"")</f>
        <v>6</v>
      </c>
      <c r="O67">
        <f>+IFERROR(VLOOKUP($F67,Corporativa_1,MATCH(O$5,Corporativa!$D$9:$V$9,0),0),"")</f>
        <v>6</v>
      </c>
      <c r="P67">
        <f>+IFERROR(VLOOKUP($F67,Corporativa_1,MATCH(P$5,Corporativa!$D$9:$V$9,0),0),"")</f>
        <v>6</v>
      </c>
      <c r="Q67">
        <f>+IFERROR(VLOOKUP($F67,Corporativa_1,MATCH(Q$5,Corporativa!$D$9:$V$9,0),0),"")</f>
        <v>6</v>
      </c>
      <c r="R67">
        <f>+IFERROR(VLOOKUP($F67,Corporativa_1,MATCH(R$5,Corporativa!$D$9:$V$9,0),0),"")</f>
        <v>6</v>
      </c>
      <c r="S67">
        <f>+IFERROR(VLOOKUP($F67,Corporativa_1,MATCH(S$5,Corporativa!$D$9:$V$9,0),0),"")</f>
        <v>6</v>
      </c>
      <c r="T67">
        <f>+IFERROR(VLOOKUP($F67,Corporativa_1,MATCH(T$5,Corporativa!$D$9:$V$9,0),0),"")</f>
        <v>6</v>
      </c>
      <c r="U67" t="str">
        <f>+IFERROR(VLOOKUP($F67,Corporativa_1,MATCH(U$5,Corporativa!$D$9:$V$9,0),0),"")</f>
        <v>Tiempo de desembolsos a contratistas, expresado en días.</v>
      </c>
      <c r="V67" t="str">
        <f>+IFERROR(VLOOKUP($F67,Corporativa_1,MATCH(V$5,Corporativa!$D$9:$V$9,0),0),"")</f>
        <v>• Desembolsos a contratistas.</v>
      </c>
      <c r="W67" t="str">
        <f>+IFERROR(VLOOKUP($F67,Corporativa_1,MATCH(W$5,Corporativa!$D$9:$V$9,0),0),"")</f>
        <v xml:space="preserve">* Satisfacción del cliente
* Garantes del cumplimiento contractual y tributario. </v>
      </c>
      <c r="X67" t="str">
        <f>+IFERROR(VLOOKUP($F67,Corporativa_1,MATCH(X$5,Corporativa!$D$9:$V$9,0),0),"")</f>
        <v>*  Ordenes de pago planillas de giro
* Hoja de ruta
* Planillas de liquidación liquidadas y pagadas</v>
      </c>
      <c r="Y67">
        <f>+IFERROR(IF(ISBLANK(VLOOKUP(CONCATENATE($F67,"_",Y$4),Corporativa_2,MATCH(Y$3,Corporativa!$F$27:$O$27,0),0)),"",VLOOKUP(CONCATENATE($F67,"_",Y$4),Corporativa_2,MATCH(Y$3,Corporativa!$F$27:$O$27,0),0)),"")</f>
        <v>9.3800000000000008</v>
      </c>
      <c r="Z67">
        <f>+IFERROR(IF(ISBLANK(VLOOKUP(CONCATENATE($F67,"_",Z$4),Corporativa_2,MATCH(Z$3,Corporativa!$F$27:$O$27,0),0)),"",VLOOKUP(CONCATENATE($F67,"_",Z$4),Corporativa_2,MATCH(Z$3,Corporativa!$F$27:$O$27,0),0)),"")</f>
        <v>0</v>
      </c>
      <c r="AA67" t="str">
        <f>+IFERROR(IF(ISBLANK(VLOOKUP(CONCATENATE($F67,"_",AA$4),Corporativa_2,MATCH(AA$3,Corporativa!$F$27:$O$27,0),0)),"",VLOOKUP(CONCATENATE($F67,"_",AA$4),Corporativa_2,MATCH(AA$3,Corporativa!$F$27:$O$27,0),0)),"")</f>
        <v>Se efectuaron los pagos radicados aunque se tomo mas tiempo para su realización.</v>
      </c>
      <c r="AB67" t="str">
        <f>+IFERROR(IF(ISBLANK(VLOOKUP(CONCATENATE($F67,"_",AB$4),Corporativa_2,MATCH(AB$3,Corporativa!$F$27:$O$27,0),0)),"",VLOOKUP(CONCATENATE($F67,"_",AB$4),Corporativa_2,MATCH(AB$3,Corporativa!$F$27:$O$27,0),0)),"")</f>
        <v>En este mes se presentó dificultades en el cumplimiento de la meta establecida de 6 días, por motivos de parametrización del sistemas de Hacienda con los nuevos Ordenadores de Gasto, por cambio de administración.</v>
      </c>
      <c r="AC67" t="str">
        <f>+IFERROR(IF(ISBLANK(VLOOKUP(CONCATENATE($F67,"_",AC$4),Corporativa_2,MATCH(AC$3,Corporativa!$F$27:$O$27,0),0)),"",VLOOKUP(CONCATENATE($F67,"_",AC$4),Corporativa_2,MATCH(AC$3,Corporativa!$F$27:$O$27,0),0)),"")</f>
        <v xml:space="preserve">*Cumplimiento de las obligaciones contractuales que tiene la entidad.
* Se generó un porcentaje del pago acumulado correspondiente en 1,51% para la vigencia y 11,56% para los recursos de reserva </v>
      </c>
      <c r="AD67">
        <f>+IFERROR(IF(ISBLANK(VLOOKUP(CONCATENATE($F67,"_",AD$4),Corporativa_2,MATCH(AD$3,Corporativa!$F$27:$O$27,0),0)),"",VLOOKUP(CONCATENATE($F67,"_",AD$4),Corporativa_2,MATCH(AD$3,Corporativa!$F$27:$O$27,0),0)),"")</f>
        <v>3.1</v>
      </c>
      <c r="AE67">
        <f>+IFERROR(IF(ISBLANK(VLOOKUP(CONCATENATE($F67,"_",AE$4),Corporativa_2,MATCH(AE$3,Corporativa!$F$27:$O$27,0),0)),"",VLOOKUP(CONCATENATE($F67,"_",AE$4),Corporativa_2,MATCH(AE$3,Corporativa!$F$27:$O$27,0),0)),"")</f>
        <v>0</v>
      </c>
      <c r="AF67" t="str">
        <f>+IFERROR(IF(ISBLANK(VLOOKUP(CONCATENATE($F67,"_",AF$4),Corporativa_2,MATCH(AF$3,Corporativa!$F$27:$O$27,0),0)),"",VLOOKUP(CONCATENATE($F67,"_",AF$4),Corporativa_2,MATCH(AF$3,Corporativa!$F$27:$O$27,0),0)),"")</f>
        <v>Dado que este es un indicador es decreciente, se cumplió el promedio de días estimado en el trámite de cuentas</v>
      </c>
      <c r="AG67" t="str">
        <f>+IFERROR(IF(ISBLANK(VLOOKUP(CONCATENATE($F67,"_",AG$4),Corporativa_2,MATCH(AG$3,Corporativa!$F$27:$O$27,0),0)),"",VLOOKUP(CONCATENATE($F67,"_",AG$4),Corporativa_2,MATCH(AG$3,Corporativa!$F$27:$O$27,0),0)),"")</f>
        <v>N.A.</v>
      </c>
      <c r="AH67" t="str">
        <f>+IFERROR(IF(ISBLANK(VLOOKUP(CONCATENATE($F67,"_",AH$4),Corporativa_2,MATCH(AH$3,Corporativa!$F$27:$O$27,0),0)),"",VLOOKUP(CONCATENATE($F67,"_",AH$4),Corporativa_2,MATCH(AH$3,Corporativa!$F$27:$O$27,0),0)),"")</f>
        <v xml:space="preserve">*Cumplimiento de las obligaciones contractuales que tiene la entidad.
* Se generó un porcentaje acumulado del pago correspondiente en 4,10% para la vigencia y 26,19% para los recursos de reserva </v>
      </c>
      <c r="AI67">
        <f>+IFERROR(IF(ISBLANK(VLOOKUP(CONCATENATE($F67,"_",AI$4),Corporativa_2,MATCH(AI$3,Corporativa!$F$27:$O$27,0),0)),"",VLOOKUP(CONCATENATE($F67,"_",AI$4),Corporativa_2,MATCH(AI$3,Corporativa!$F$27:$O$27,0),0)),"")</f>
        <v>3.41</v>
      </c>
      <c r="AJ67">
        <f>+IFERROR(IF(ISBLANK(VLOOKUP(CONCATENATE($F67,"_",AJ$4),Corporativa_2,MATCH(AJ$3,Corporativa!$F$27:$O$27,0),0)),"",VLOOKUP(CONCATENATE($F67,"_",AJ$4),Corporativa_2,MATCH(AJ$3,Corporativa!$F$27:$O$27,0),0)),"")</f>
        <v>0</v>
      </c>
      <c r="AK67" t="str">
        <f>+IFERROR(IF(ISBLANK(VLOOKUP(CONCATENATE($F67,"_",AK$4),Corporativa_2,MATCH(AK$3,Corporativa!$F$27:$O$27,0),0)),"",VLOOKUP(CONCATENATE($F67,"_",AK$4),Corporativa_2,MATCH(AK$3,Corporativa!$F$27:$O$27,0),0)),"")</f>
        <v>Dado que este es un indicador es decreciente, se cumplió el promedio de días estimado en el trámite de cuentas</v>
      </c>
      <c r="AL67" t="str">
        <f>+IFERROR(IF(ISBLANK(VLOOKUP(CONCATENATE($F67,"_",AL$4),Corporativa_2,MATCH(AL$3,Corporativa!$F$27:$O$27,0),0)),"",VLOOKUP(CONCATENATE($F67,"_",AL$4),Corporativa_2,MATCH(AL$3,Corporativa!$F$27:$O$27,0),0)),"")</f>
        <v>N.A.</v>
      </c>
      <c r="AM67" t="str">
        <f>+IFERROR(IF(ISBLANK(VLOOKUP(CONCATENATE($F67,"_",AM$4),Corporativa_2,MATCH(AM$3,Corporativa!$F$27:$O$27,0),0)),"",VLOOKUP(CONCATENATE($F67,"_",AM$4),Corporativa_2,MATCH(AM$3,Corporativa!$F$27:$O$27,0),0)),"")</f>
        <v xml:space="preserve">*Cumplimiento de las obligaciones contractuales que tiene la entidad.
* Se generó un porcentaje acumulado del pago correspondiente en 11,86% para la vigencia y 51,89% para los recursos de reserva </v>
      </c>
      <c r="AN67">
        <f>+IFERROR(IF(ISBLANK(VLOOKUP(CONCATENATE($F67,"_",AN$4),Corporativa_2,MATCH(AN$3,Corporativa!$F$27:$O$27,0),0)),"",VLOOKUP(CONCATENATE($F67,"_",AN$4),Corporativa_2,MATCH(AN$3,Corporativa!$F$27:$O$27,0),0)),"")</f>
        <v>3.02</v>
      </c>
      <c r="AO67">
        <f>+IFERROR(IF(ISBLANK(VLOOKUP(CONCATENATE($F67,"_",AO$4),Corporativa_2,MATCH(AO$3,Corporativa!$F$27:$O$27,0),0)),"",VLOOKUP(CONCATENATE($F67,"_",AO$4),Corporativa_2,MATCH(AO$3,Corporativa!$F$27:$O$27,0),0)),"")</f>
        <v>0</v>
      </c>
      <c r="AP67" t="str">
        <f>+IFERROR(IF(ISBLANK(VLOOKUP(CONCATENATE($F67,"_",AP$4),Corporativa_2,MATCH(AP$3,Corporativa!$F$27:$O$27,0),0)),"",VLOOKUP(CONCATENATE($F67,"_",AP$4),Corporativa_2,MATCH(AP$3,Corporativa!$F$27:$O$27,0),0)),"")</f>
        <v>Dado que este es un indicador es decreciente, se cumplió el promedio de días estimado en el trámite de cuentas</v>
      </c>
      <c r="AQ67" t="str">
        <f>+IFERROR(IF(ISBLANK(VLOOKUP(CONCATENATE($F67,"_",AQ$4),Corporativa_2,MATCH(AQ$3,Corporativa!$F$27:$O$27,0),0)),"",VLOOKUP(CONCATENATE($F67,"_",AQ$4),Corporativa_2,MATCH(AQ$3,Corporativa!$F$27:$O$27,0),0)),"")</f>
        <v>N.A.</v>
      </c>
      <c r="AR67" t="str">
        <f>+IFERROR(IF(ISBLANK(VLOOKUP(CONCATENATE($F67,"_",AR$4),Corporativa_2,MATCH(AR$3,Corporativa!$F$27:$O$27,0),0)),"",VLOOKUP(CONCATENATE($F67,"_",AR$4),Corporativa_2,MATCH(AR$3,Corporativa!$F$27:$O$27,0),0)),"")</f>
        <v xml:space="preserve">*Cumplimiento de las obligaciones contractuales que tiene la entidad.
* Se generó un porcentaje acumulado del pago correspondiente en 11,86% para la vigencia y 51,89% para los recursos de reserva </v>
      </c>
      <c r="AS67">
        <f>+IFERROR(IF(ISBLANK(VLOOKUP(CONCATENATE($F67,"_",AS$4),Corporativa_2,MATCH(AS$3,Corporativa!$F$27:$O$27,0),0)),"",VLOOKUP(CONCATENATE($F67,"_",AS$4),Corporativa_2,MATCH(AS$3,Corporativa!$F$27:$O$27,0),0)),"")</f>
        <v>4.53</v>
      </c>
      <c r="AT67">
        <f>+IFERROR(IF(ISBLANK(VLOOKUP(CONCATENATE($F67,"_",AT$4),Corporativa_2,MATCH(AT$3,Corporativa!$F$27:$O$27,0),0)),"",VLOOKUP(CONCATENATE($F67,"_",AT$4),Corporativa_2,MATCH(AT$3,Corporativa!$F$27:$O$27,0),0)),"")</f>
        <v>0</v>
      </c>
      <c r="AU67" t="str">
        <f>+IFERROR(IF(ISBLANK(VLOOKUP(CONCATENATE($F67,"_",AU$4),Corporativa_2,MATCH(AU$3,Corporativa!$F$27:$O$27,0),0)),"",VLOOKUP(CONCATENATE($F67,"_",AU$4),Corporativa_2,MATCH(AU$3,Corporativa!$F$27:$O$27,0),0)),"")</f>
        <v>Dado que este es un indicador es decreciente, se cumplió el promedio de días estimado en el trámite de cuentas</v>
      </c>
      <c r="AV67" t="str">
        <f>+IFERROR(IF(ISBLANK(VLOOKUP(CONCATENATE($F67,"_",AV$4),Corporativa_2,MATCH(AV$3,Corporativa!$F$27:$O$27,0),0)),"",VLOOKUP(CONCATENATE($F67,"_",AV$4),Corporativa_2,MATCH(AV$3,Corporativa!$F$27:$O$27,0),0)),"")</f>
        <v>N.A.</v>
      </c>
      <c r="AW67" t="str">
        <f>+IFERROR(IF(ISBLANK(VLOOKUP(CONCATENATE($F67,"_",AW$4),Corporativa_2,MATCH(AW$3,Corporativa!$F$27:$O$27,0),0)),"",VLOOKUP(CONCATENATE($F67,"_",AW$4),Corporativa_2,MATCH(AW$3,Corporativa!$F$27:$O$27,0),0)),"")</f>
        <v xml:space="preserve">*Cumplimiento de las obligaciones contractuales que tiene la entidad.
* Se generó un porcentaje acumulado del pago correspondiente en 11,86% para la vigencia y 51,89% para los recursos de reserva </v>
      </c>
      <c r="AX67">
        <f>+IFERROR(IF(ISBLANK(VLOOKUP(CONCATENATE($F67,"_",AX$4),Corporativa_2,MATCH(AX$3,Corporativa!$F$27:$O$27,0),0)),"",VLOOKUP(CONCATENATE($F67,"_",AX$4),Corporativa_2,MATCH(AX$3,Corporativa!$F$27:$O$27,0),0)),"")</f>
        <v>2.3199999999999998</v>
      </c>
      <c r="AY67">
        <f>+IFERROR(IF(ISBLANK(VLOOKUP(CONCATENATE($F67,"_",AY$4),Corporativa_2,MATCH(AY$3,Corporativa!$F$27:$O$27,0),0)),"",VLOOKUP(CONCATENATE($F67,"_",AY$4),Corporativa_2,MATCH(AY$3,Corporativa!$F$27:$O$27,0),0)),"")</f>
        <v>0</v>
      </c>
      <c r="AZ67" t="str">
        <f>+IFERROR(IF(ISBLANK(VLOOKUP(CONCATENATE($F67,"_",AZ$4),Corporativa_2,MATCH(AZ$3,Corporativa!$F$27:$O$27,0),0)),"",VLOOKUP(CONCATENATE($F67,"_",AZ$4),Corporativa_2,MATCH(AZ$3,Corporativa!$F$27:$O$27,0),0)),"")</f>
        <v>Dado que este es un indicador es decreciente, se cumplió el promedio de días estimado en el trámite de cuentas</v>
      </c>
      <c r="BA67" t="str">
        <f>+IFERROR(IF(ISBLANK(VLOOKUP(CONCATENATE($F67,"_",BA$4),Corporativa_2,MATCH(BA$3,Corporativa!$F$27:$O$27,0),0)),"",VLOOKUP(CONCATENATE($F67,"_",BA$4),Corporativa_2,MATCH(BA$3,Corporativa!$F$27:$O$27,0),0)),"")</f>
        <v>N.A.</v>
      </c>
      <c r="BB67" t="str">
        <f>+IFERROR(IF(ISBLANK(VLOOKUP(CONCATENATE($F67,"_",BB$4),Corporativa_2,MATCH(BB$3,Corporativa!$F$27:$O$27,0),0)),"",VLOOKUP(CONCATENATE($F67,"_",BB$4),Corporativa_2,MATCH(BB$3,Corporativa!$F$27:$O$27,0),0)),"")</f>
        <v xml:space="preserve">*Cumplimiento de las obligaciones contractuales que tiene la entidad.
* Se generó un porcentaje acumulado del pago correspondiente en 31,34% para la vigencia y 77,45% para los recursos de reserva </v>
      </c>
      <c r="BC67">
        <f t="shared" si="10"/>
        <v>25.76</v>
      </c>
      <c r="BD67">
        <f t="shared" si="10"/>
        <v>0</v>
      </c>
      <c r="CI67" t="str">
        <f t="shared" si="45"/>
        <v>Cumple</v>
      </c>
      <c r="CJ67" t="str">
        <f t="shared" si="45"/>
        <v>Cumplido</v>
      </c>
      <c r="CK67" t="str">
        <f t="shared" si="45"/>
        <v>Adecuado</v>
      </c>
      <c r="CL67" t="str">
        <f t="shared" si="45"/>
        <v>Coherente</v>
      </c>
      <c r="CM67" t="str">
        <f t="shared" si="45"/>
        <v>Concuerda</v>
      </c>
      <c r="CN67" t="str">
        <f t="shared" si="45"/>
        <v>Concuerda</v>
      </c>
      <c r="CO67" t="str">
        <f t="shared" si="45"/>
        <v>Relación directa</v>
      </c>
      <c r="CP67" t="str">
        <f t="shared" si="45"/>
        <v>Adecuado</v>
      </c>
      <c r="CQ67" t="str">
        <f t="shared" si="45"/>
        <v>Oportuna</v>
      </c>
      <c r="CR67" t="str">
        <f t="shared" si="45"/>
        <v>Sin observaciones.</v>
      </c>
      <c r="CS67" t="str">
        <f t="shared" si="46"/>
        <v>Cesar Arcos</v>
      </c>
      <c r="CT67" t="str">
        <f t="shared" si="46"/>
        <v>Cumple</v>
      </c>
      <c r="CU67" t="str">
        <f t="shared" si="46"/>
        <v>Cumplido</v>
      </c>
      <c r="CV67" t="str">
        <f t="shared" si="46"/>
        <v>Adecuado</v>
      </c>
      <c r="CW67" t="str">
        <f t="shared" si="46"/>
        <v>Coherente</v>
      </c>
      <c r="CX67" t="str">
        <f t="shared" si="46"/>
        <v>Concuerda</v>
      </c>
      <c r="CY67" t="str">
        <f t="shared" si="46"/>
        <v>Concuerda</v>
      </c>
      <c r="CZ67" t="str">
        <f t="shared" si="46"/>
        <v>Relación directa</v>
      </c>
      <c r="DA67" t="str">
        <f t="shared" si="46"/>
        <v>Adecuado</v>
      </c>
      <c r="DB67" t="str">
        <f t="shared" si="46"/>
        <v>Oportuna</v>
      </c>
      <c r="DC67" t="str">
        <f t="shared" si="47"/>
        <v>Sin observaciones.</v>
      </c>
      <c r="DD67" t="str">
        <f t="shared" si="47"/>
        <v>Cesar Arcos</v>
      </c>
      <c r="DE67" t="e">
        <f t="shared" si="47"/>
        <v>#REF!</v>
      </c>
      <c r="DF67" t="e">
        <f t="shared" si="47"/>
        <v>#REF!</v>
      </c>
      <c r="DG67" t="e">
        <f t="shared" si="47"/>
        <v>#REF!</v>
      </c>
      <c r="DH67" t="e">
        <f t="shared" si="47"/>
        <v>#REF!</v>
      </c>
      <c r="DI67" t="e">
        <f t="shared" si="47"/>
        <v>#REF!</v>
      </c>
      <c r="DJ67" t="e">
        <f t="shared" si="47"/>
        <v>#REF!</v>
      </c>
      <c r="DK67" t="e">
        <f t="shared" si="47"/>
        <v>#REF!</v>
      </c>
      <c r="DL67" t="e">
        <f t="shared" si="47"/>
        <v>#REF!</v>
      </c>
      <c r="DM67" t="e">
        <f t="shared" si="48"/>
        <v>#REF!</v>
      </c>
      <c r="DN67" t="e">
        <f t="shared" si="48"/>
        <v>#REF!</v>
      </c>
      <c r="DO67" t="e">
        <f t="shared" si="48"/>
        <v>#REF!</v>
      </c>
      <c r="DP67" t="e">
        <f t="shared" si="48"/>
        <v>#REF!</v>
      </c>
      <c r="DQ67" t="e">
        <f t="shared" si="48"/>
        <v>#REF!</v>
      </c>
      <c r="DR67" t="e">
        <f t="shared" si="48"/>
        <v>#REF!</v>
      </c>
      <c r="DS67" t="e">
        <f t="shared" si="48"/>
        <v>#REF!</v>
      </c>
      <c r="DT67" t="e">
        <f t="shared" si="48"/>
        <v>#REF!</v>
      </c>
      <c r="DU67" t="e">
        <f t="shared" si="48"/>
        <v>#REF!</v>
      </c>
      <c r="DV67" t="e">
        <f t="shared" si="48"/>
        <v>#REF!</v>
      </c>
      <c r="DW67" t="e">
        <f t="shared" si="48"/>
        <v>#REF!</v>
      </c>
      <c r="DX67" t="e">
        <f t="shared" si="48"/>
        <v>#REF!</v>
      </c>
    </row>
    <row r="68" spans="1:128" x14ac:dyDescent="0.3">
      <c r="A68" s="423">
        <f t="shared" si="49"/>
        <v>125</v>
      </c>
      <c r="B68" t="str">
        <f t="shared" si="50"/>
        <v>4_Subdirección Financiera</v>
      </c>
      <c r="C68">
        <f t="shared" si="8"/>
        <v>4</v>
      </c>
      <c r="D68" t="str">
        <f t="shared" si="0"/>
        <v>Subdirección Financiera</v>
      </c>
      <c r="E68" t="str">
        <f t="shared" si="51"/>
        <v>fin</v>
      </c>
      <c r="F68" s="207">
        <f>Corporativa!D22</f>
        <v>125</v>
      </c>
      <c r="G68" t="str">
        <f t="shared" si="52"/>
        <v>Suma</v>
      </c>
      <c r="H68" t="str">
        <f t="shared" si="52"/>
        <v>Número</v>
      </c>
      <c r="I68">
        <f t="shared" si="52"/>
        <v>12</v>
      </c>
      <c r="J68">
        <f t="shared" si="52"/>
        <v>12</v>
      </c>
      <c r="K68" t="str">
        <f>+IFERROR(VLOOKUP($F68,Corporativa_1,MATCH(K$5,Corporativa!$D$9:$V$9,0),0),"")</f>
        <v>Suma</v>
      </c>
      <c r="L68">
        <f>+IFERROR(VLOOKUP($F68,Corporativa_1,MATCH(L$5,Corporativa!$D$9:$V$9,0),0),"")</f>
        <v>4</v>
      </c>
      <c r="M68">
        <f t="shared" si="40"/>
        <v>1</v>
      </c>
      <c r="N68">
        <f>+IFERROR(VLOOKUP($F68,Corporativa_1,MATCH(N$5,Corporativa!$D$9:$V$9,0),0),"")</f>
        <v>0</v>
      </c>
      <c r="O68">
        <f>+IFERROR(VLOOKUP($F68,Corporativa_1,MATCH(O$5,Corporativa!$D$9:$V$9,0),0),"")</f>
        <v>0</v>
      </c>
      <c r="P68">
        <f>+IFERROR(VLOOKUP($F68,Corporativa_1,MATCH(P$5,Corporativa!$D$9:$V$9,0),0),"")</f>
        <v>1</v>
      </c>
      <c r="Q68">
        <f>+IFERROR(VLOOKUP($F68,Corporativa_1,MATCH(Q$5,Corporativa!$D$9:$V$9,0),0),"")</f>
        <v>1</v>
      </c>
      <c r="R68">
        <f>+IFERROR(VLOOKUP($F68,Corporativa_1,MATCH(R$5,Corporativa!$D$9:$V$9,0),0),"")</f>
        <v>1</v>
      </c>
      <c r="S68">
        <f>+IFERROR(VLOOKUP($F68,Corporativa_1,MATCH(S$5,Corporativa!$D$9:$V$9,0),0),"")</f>
        <v>1</v>
      </c>
      <c r="T68">
        <f>+IFERROR(VLOOKUP($F68,Corporativa_1,MATCH(T$5,Corporativa!$D$9:$V$9,0),0),"")</f>
        <v>3</v>
      </c>
      <c r="U68" t="str">
        <f>+IFERROR(VLOOKUP($F68,Corporativa_1,MATCH(U$5,Corporativa!$D$9:$V$9,0),0),"")</f>
        <v>Número de memorandos o presentaciones con la información presupuestal sintetizada.</v>
      </c>
      <c r="V68" t="str">
        <f>+IFERROR(VLOOKUP($F68,Corporativa_1,MATCH(V$5,Corporativa!$D$9:$V$9,0),0),"")</f>
        <v>• Memorandos o presentaciones con la información presupuestal sintetizada.</v>
      </c>
      <c r="W68" t="str">
        <f>+IFERROR(VLOOKUP($F68,Corporativa_1,MATCH(W$5,Corporativa!$D$9:$V$9,0),0),"")</f>
        <v>* Proporcionar las herramientas para la toma de decisiones.</v>
      </c>
      <c r="X68" t="str">
        <f>+IFERROR(VLOOKUP($F68,Corporativa_1,MATCH(X$5,Corporativa!$D$9:$V$9,0),0),"")</f>
        <v>* Comunicaciones enviadas.</v>
      </c>
      <c r="Y68">
        <f>+IFERROR(IF(ISBLANK(VLOOKUP(CONCATENATE($F68,"_",Y$4),Corporativa_2,MATCH(Y$3,Corporativa!$F$27:$O$27,0),0)),"",VLOOKUP(CONCATENATE($F68,"_",Y$4),Corporativa_2,MATCH(Y$3,Corporativa!$F$27:$O$27,0),0)),"")</f>
        <v>0</v>
      </c>
      <c r="Z68">
        <f>+IFERROR(IF(ISBLANK(VLOOKUP(CONCATENATE($F68,"_",Z$4),Corporativa_2,MATCH(Z$3,Corporativa!$F$27:$O$27,0),0)),"",VLOOKUP(CONCATENATE($F68,"_",Z$4),Corporativa_2,MATCH(Z$3,Corporativa!$F$27:$O$27,0),0)),"")</f>
        <v>0</v>
      </c>
      <c r="AA68" t="str">
        <f>+IFERROR(IF(ISBLANK(VLOOKUP(CONCATENATE($F68,"_",AA$4),Corporativa_2,MATCH(AA$3,Corporativa!$F$27:$O$27,0),0)),"",VLOOKUP(CONCATENATE($F68,"_",AA$4),Corporativa_2,MATCH(AA$3,Corporativa!$F$27:$O$27,0),0)),"")</f>
        <v>N.A.</v>
      </c>
      <c r="AB68" t="str">
        <f>+IFERROR(IF(ISBLANK(VLOOKUP(CONCATENATE($F68,"_",AB$4),Corporativa_2,MATCH(AB$3,Corporativa!$F$27:$O$27,0),0)),"",VLOOKUP(CONCATENATE($F68,"_",AB$4),Corporativa_2,MATCH(AB$3,Corporativa!$F$27:$O$27,0),0)),"")</f>
        <v>N.A.</v>
      </c>
      <c r="AC68" t="str">
        <f>+IFERROR(IF(ISBLANK(VLOOKUP(CONCATENATE($F68,"_",AC$4),Corporativa_2,MATCH(AC$3,Corporativa!$F$27:$O$27,0),0)),"",VLOOKUP(CONCATENATE($F68,"_",AC$4),Corporativa_2,MATCH(AC$3,Corporativa!$F$27:$O$27,0),0)),"")</f>
        <v>N.A.</v>
      </c>
      <c r="AD68">
        <f>+IFERROR(IF(ISBLANK(VLOOKUP(CONCATENATE($F68,"_",AD$4),Corporativa_2,MATCH(AD$3,Corporativa!$F$27:$O$27,0),0)),"",VLOOKUP(CONCATENATE($F68,"_",AD$4),Corporativa_2,MATCH(AD$3,Corporativa!$F$27:$O$27,0),0)),"")</f>
        <v>0</v>
      </c>
      <c r="AE68">
        <f>+IFERROR(IF(ISBLANK(VLOOKUP(CONCATENATE($F68,"_",AE$4),Corporativa_2,MATCH(AE$3,Corporativa!$F$27:$O$27,0),0)),"",VLOOKUP(CONCATENATE($F68,"_",AE$4),Corporativa_2,MATCH(AE$3,Corporativa!$F$27:$O$27,0),0)),"")</f>
        <v>0</v>
      </c>
      <c r="AF68" t="str">
        <f>+IFERROR(IF(ISBLANK(VLOOKUP(CONCATENATE($F68,"_",AF$4),Corporativa_2,MATCH(AF$3,Corporativa!$F$27:$O$27,0),0)),"",VLOOKUP(CONCATENATE($F68,"_",AF$4),Corporativa_2,MATCH(AF$3,Corporativa!$F$27:$O$27,0),0)),"")</f>
        <v>N.A.</v>
      </c>
      <c r="AG68" t="str">
        <f>+IFERROR(IF(ISBLANK(VLOOKUP(CONCATENATE($F68,"_",AG$4),Corporativa_2,MATCH(AG$3,Corporativa!$F$27:$O$27,0),0)),"",VLOOKUP(CONCATENATE($F68,"_",AG$4),Corporativa_2,MATCH(AG$3,Corporativa!$F$27:$O$27,0),0)),"")</f>
        <v>N.A.</v>
      </c>
      <c r="AH68" t="str">
        <f>+IFERROR(IF(ISBLANK(VLOOKUP(CONCATENATE($F68,"_",AH$4),Corporativa_2,MATCH(AH$3,Corporativa!$F$27:$O$27,0),0)),"",VLOOKUP(CONCATENATE($F68,"_",AH$4),Corporativa_2,MATCH(AH$3,Corporativa!$F$27:$O$27,0),0)),"")</f>
        <v>N.A.</v>
      </c>
      <c r="AI68">
        <f>+IFERROR(IF(ISBLANK(VLOOKUP(CONCATENATE($F68,"_",AI$4),Corporativa_2,MATCH(AI$3,Corporativa!$F$27:$O$27,0),0)),"",VLOOKUP(CONCATENATE($F68,"_",AI$4),Corporativa_2,MATCH(AI$3,Corporativa!$F$27:$O$27,0),0)),"")</f>
        <v>1</v>
      </c>
      <c r="AJ68">
        <f>+IFERROR(IF(ISBLANK(VLOOKUP(CONCATENATE($F68,"_",AJ$4),Corporativa_2,MATCH(AJ$3,Corporativa!$F$27:$O$27,0),0)),"",VLOOKUP(CONCATENATE($F68,"_",AJ$4),Corporativa_2,MATCH(AJ$3,Corporativa!$F$27:$O$27,0),0)),"")</f>
        <v>0</v>
      </c>
      <c r="AK68" t="str">
        <f>+IFERROR(IF(ISBLANK(VLOOKUP(CONCATENATE($F68,"_",AK$4),Corporativa_2,MATCH(AK$3,Corporativa!$F$27:$O$27,0),0)),"",VLOOKUP(CONCATENATE($F68,"_",AK$4),Corporativa_2,MATCH(AK$3,Corporativa!$F$27:$O$27,0),0)),"")</f>
        <v>Se reportó para el trimestre un porcentaje en la ejecución acumulada del 29,38%. Ejecución de la Reserva 52,71%. PAC  ejecutado de vigencia 11,86% y del PAC de reserva 51,01% . Pasivos Exigibles por valor de $44,049,186</v>
      </c>
      <c r="AL68" t="str">
        <f>+IFERROR(IF(ISBLANK(VLOOKUP(CONCATENATE($F68,"_",AL$4),Corporativa_2,MATCH(AL$3,Corporativa!$F$27:$O$27,0),0)),"",VLOOKUP(CONCATENATE($F68,"_",AL$4),Corporativa_2,MATCH(AL$3,Corporativa!$F$27:$O$27,0),0)),"")</f>
        <v>N.A.</v>
      </c>
      <c r="AM68" t="str">
        <f>+IFERROR(IF(ISBLANK(VLOOKUP(CONCATENATE($F68,"_",AM$4),Corporativa_2,MATCH(AM$3,Corporativa!$F$27:$O$27,0),0)),"",VLOOKUP(CONCATENATE($F68,"_",AM$4),Corporativa_2,MATCH(AM$3,Corporativa!$F$27:$O$27,0),0)),"")</f>
        <v>Informar el estado de la ejecución presupuestal de la entidad en el presupuesto de vigencia, reserva y de los compromisos fenecidos, para toma efectiva de decisiones.</v>
      </c>
      <c r="AN68">
        <f>+IFERROR(IF(ISBLANK(VLOOKUP(CONCATENATE($F68,"_",AN$4),Corporativa_2,MATCH(AN$3,Corporativa!$F$27:$O$27,0),0)),"",VLOOKUP(CONCATENATE($F68,"_",AN$4),Corporativa_2,MATCH(AN$3,Corporativa!$F$27:$O$27,0),0)),"")</f>
        <v>1</v>
      </c>
      <c r="AO68">
        <f>+IFERROR(IF(ISBLANK(VLOOKUP(CONCATENATE($F68,"_",AO$4),Corporativa_2,MATCH(AO$3,Corporativa!$F$27:$O$27,0),0)),"",VLOOKUP(CONCATENATE($F68,"_",AO$4),Corporativa_2,MATCH(AO$3,Corporativa!$F$27:$O$27,0),0)),"")</f>
        <v>0</v>
      </c>
      <c r="AP68" t="str">
        <f>+IFERROR(IF(ISBLANK(VLOOKUP(CONCATENATE($F68,"_",AP$4),Corporativa_2,MATCH(AP$3,Corporativa!$F$27:$O$27,0),0)),"",VLOOKUP(CONCATENATE($F68,"_",AP$4),Corporativa_2,MATCH(AP$3,Corporativa!$F$27:$O$27,0),0)),"")</f>
        <v>Para el mes de abril: se reportó el porcentaje acumulado en la ejecución del 36,46% . Ejecución de la Reserva 64,61%. PAC acumulado de la vigencia 16,42% y PAC acumulado de la reserva 62,9%. Pasivos Exigibles por valor de $44,049,186</v>
      </c>
      <c r="AQ68" t="str">
        <f>+IFERROR(IF(ISBLANK(VLOOKUP(CONCATENATE($F68,"_",AQ$4),Corporativa_2,MATCH(AQ$3,Corporativa!$F$27:$O$27,0),0)),"",VLOOKUP(CONCATENATE($F68,"_",AQ$4),Corporativa_2,MATCH(AQ$3,Corporativa!$F$27:$O$27,0),0)),"")</f>
        <v>N.A.</v>
      </c>
      <c r="AR68" t="str">
        <f>+IFERROR(IF(ISBLANK(VLOOKUP(CONCATENATE($F68,"_",AR$4),Corporativa_2,MATCH(AR$3,Corporativa!$F$27:$O$27,0),0)),"",VLOOKUP(CONCATENATE($F68,"_",AR$4),Corporativa_2,MATCH(AR$3,Corporativa!$F$27:$O$27,0),0)),"")</f>
        <v>Informar el estado de la ejecución presupuestal de la entidad en el presupuesto de vigencia, reserva y de los compromisos fenecidos, para toma efectiva de decisiones.</v>
      </c>
      <c r="AS68">
        <f>+IFERROR(IF(ISBLANK(VLOOKUP(CONCATENATE($F68,"_",AS$4),Corporativa_2,MATCH(AS$3,Corporativa!$F$27:$O$27,0),0)),"",VLOOKUP(CONCATENATE($F68,"_",AS$4),Corporativa_2,MATCH(AS$3,Corporativa!$F$27:$O$27,0),0)),"")</f>
        <v>1</v>
      </c>
      <c r="AT68">
        <f>+IFERROR(IF(ISBLANK(VLOOKUP(CONCATENATE($F68,"_",AT$4),Corporativa_2,MATCH(AT$3,Corporativa!$F$27:$O$27,0),0)),"",VLOOKUP(CONCATENATE($F68,"_",AT$4),Corporativa_2,MATCH(AT$3,Corporativa!$F$27:$O$27,0),0)),"")</f>
        <v>0</v>
      </c>
      <c r="AU68" t="str">
        <f>+IFERROR(IF(ISBLANK(VLOOKUP(CONCATENATE($F68,"_",AU$4),Corporativa_2,MATCH(AU$3,Corporativa!$F$27:$O$27,0),0)),"",VLOOKUP(CONCATENATE($F68,"_",AU$4),Corporativa_2,MATCH(AU$3,Corporativa!$F$27:$O$27,0),0)),"")</f>
        <v>Para el mes de mayo: se reportó el porcentaje acumulado en la ejecución del 45,52% . Ejecución de la Reserva 70,92%. PAC acumulado de la vigencia 22,51% y PAC acumulado de la reserva 69,08%. Pasivos Exigibles por valor de $44,049,186</v>
      </c>
      <c r="AV68" t="str">
        <f>+IFERROR(IF(ISBLANK(VLOOKUP(CONCATENATE($F68,"_",AV$4),Corporativa_2,MATCH(AV$3,Corporativa!$F$27:$O$27,0),0)),"",VLOOKUP(CONCATENATE($F68,"_",AV$4),Corporativa_2,MATCH(AV$3,Corporativa!$F$27:$O$27,0),0)),"")</f>
        <v>N.A.</v>
      </c>
      <c r="AW68" t="str">
        <f>+IFERROR(IF(ISBLANK(VLOOKUP(CONCATENATE($F68,"_",AW$4),Corporativa_2,MATCH(AW$3,Corporativa!$F$27:$O$27,0),0)),"",VLOOKUP(CONCATENATE($F68,"_",AW$4),Corporativa_2,MATCH(AW$3,Corporativa!$F$27:$O$27,0),0)),"")</f>
        <v>Informar el estado de la ejecución presupuestal de la entidad en el presupuesto de vigencia, reserva y de los compromisos fenecidos, para toma efectiva de decisiones.</v>
      </c>
      <c r="AX68">
        <f>+IFERROR(IF(ISBLANK(VLOOKUP(CONCATENATE($F68,"_",AX$4),Corporativa_2,MATCH(AX$3,Corporativa!$F$27:$O$27,0),0)),"",VLOOKUP(CONCATENATE($F68,"_",AX$4),Corporativa_2,MATCH(AX$3,Corporativa!$F$27:$O$27,0),0)),"")</f>
        <v>1</v>
      </c>
      <c r="AY68">
        <f>+IFERROR(IF(ISBLANK(VLOOKUP(CONCATENATE($F68,"_",AY$4),Corporativa_2,MATCH(AY$3,Corporativa!$F$27:$O$27,0),0)),"",VLOOKUP(CONCATENATE($F68,"_",AY$4),Corporativa_2,MATCH(AY$3,Corporativa!$F$27:$O$27,0),0)),"")</f>
        <v>0</v>
      </c>
      <c r="AZ68" t="str">
        <f>+IFERROR(IF(ISBLANK(VLOOKUP(CONCATENATE($F68,"_",AZ$4),Corporativa_2,MATCH(AZ$3,Corporativa!$F$27:$O$27,0),0)),"",VLOOKUP(CONCATENATE($F68,"_",AZ$4),Corporativa_2,MATCH(AZ$3,Corporativa!$F$27:$O$27,0),0)),"")</f>
        <v>Para el mes de junio: se reportó el porcentaje acumulado en la ejecución del 52,35% . Ejecución de la Reserva 77,90%. PAC acumulado de la vigencia 31,34% y PAC acumulado de la reserva 77,45%. Y Pasivos Exigibles por valor de $44,049,186</v>
      </c>
      <c r="BA68" t="str">
        <f>+IFERROR(IF(ISBLANK(VLOOKUP(CONCATENATE($F68,"_",BA$4),Corporativa_2,MATCH(BA$3,Corporativa!$F$27:$O$27,0),0)),"",VLOOKUP(CONCATENATE($F68,"_",BA$4),Corporativa_2,MATCH(BA$3,Corporativa!$F$27:$O$27,0),0)),"")</f>
        <v>N.A.</v>
      </c>
      <c r="BB68" t="str">
        <f>+IFERROR(IF(ISBLANK(VLOOKUP(CONCATENATE($F68,"_",BB$4),Corporativa_2,MATCH(BB$3,Corporativa!$F$27:$O$27,0),0)),"",VLOOKUP(CONCATENATE($F68,"_",BB$4),Corporativa_2,MATCH(BB$3,Corporativa!$F$27:$O$27,0),0)),"")</f>
        <v>Informar el estado de la ejecución presupuestal de la entidad en el presupuesto de vigencia, reserva y de los compromisos fenecidos, para toma efectiva de decisiones.</v>
      </c>
      <c r="BC68">
        <f t="shared" si="10"/>
        <v>4</v>
      </c>
      <c r="BD68">
        <f t="shared" si="10"/>
        <v>0</v>
      </c>
      <c r="CI68" t="str">
        <f t="shared" si="45"/>
        <v>Cumple</v>
      </c>
      <c r="CJ68" t="str">
        <f t="shared" si="45"/>
        <v>Cumplido</v>
      </c>
      <c r="CK68" t="str">
        <f t="shared" si="45"/>
        <v>No adecuado</v>
      </c>
      <c r="CL68" t="str">
        <f t="shared" si="45"/>
        <v>Coherente</v>
      </c>
      <c r="CM68" t="str">
        <f t="shared" si="45"/>
        <v>Concuerda</v>
      </c>
      <c r="CN68" t="str">
        <f t="shared" si="45"/>
        <v>Concuerda</v>
      </c>
      <c r="CO68" t="str">
        <f t="shared" si="45"/>
        <v>Relación directa</v>
      </c>
      <c r="CP68" t="str">
        <f t="shared" si="45"/>
        <v>Adecuado</v>
      </c>
      <c r="CQ68" t="str">
        <f t="shared" si="45"/>
        <v>Oportuna</v>
      </c>
      <c r="CR68" t="str">
        <f t="shared" si="45"/>
        <v>C3: Se atendió la observación de incluir el reporte de avance en la gestión, y beneficios, logros y resultados para el caso de reservas y pasivos exigibles.</v>
      </c>
      <c r="CS68" t="str">
        <f t="shared" si="46"/>
        <v>Cesar Arcos</v>
      </c>
      <c r="CT68" t="str">
        <f t="shared" si="46"/>
        <v>Cumple</v>
      </c>
      <c r="CU68" t="str">
        <f t="shared" si="46"/>
        <v>Cumplido</v>
      </c>
      <c r="CV68" t="str">
        <f t="shared" si="46"/>
        <v>Adecuado</v>
      </c>
      <c r="CW68" t="str">
        <f t="shared" si="46"/>
        <v>Coherente</v>
      </c>
      <c r="CX68" t="str">
        <f t="shared" si="46"/>
        <v>Concuerda</v>
      </c>
      <c r="CY68" t="str">
        <f t="shared" si="46"/>
        <v>Concuerda</v>
      </c>
      <c r="CZ68" t="str">
        <f t="shared" si="46"/>
        <v>Relación directa</v>
      </c>
      <c r="DA68" t="str">
        <f t="shared" si="46"/>
        <v>Adecuado</v>
      </c>
      <c r="DB68" t="str">
        <f t="shared" si="46"/>
        <v>Oportuna</v>
      </c>
      <c r="DC68" t="str">
        <f t="shared" si="47"/>
        <v>Sin observaciones.</v>
      </c>
      <c r="DD68" t="str">
        <f t="shared" si="47"/>
        <v>Cesar Arcos</v>
      </c>
      <c r="DE68" t="e">
        <f t="shared" si="47"/>
        <v>#REF!</v>
      </c>
      <c r="DF68" t="e">
        <f t="shared" si="47"/>
        <v>#REF!</v>
      </c>
      <c r="DG68" t="e">
        <f t="shared" si="47"/>
        <v>#REF!</v>
      </c>
      <c r="DH68" t="e">
        <f t="shared" si="47"/>
        <v>#REF!</v>
      </c>
      <c r="DI68" t="e">
        <f t="shared" si="47"/>
        <v>#REF!</v>
      </c>
      <c r="DJ68" t="e">
        <f t="shared" si="47"/>
        <v>#REF!</v>
      </c>
      <c r="DK68" t="e">
        <f t="shared" si="47"/>
        <v>#REF!</v>
      </c>
      <c r="DL68" t="e">
        <f t="shared" si="47"/>
        <v>#REF!</v>
      </c>
      <c r="DM68" t="e">
        <f t="shared" si="48"/>
        <v>#REF!</v>
      </c>
      <c r="DN68" t="e">
        <f t="shared" si="48"/>
        <v>#REF!</v>
      </c>
      <c r="DO68" t="e">
        <f t="shared" si="48"/>
        <v>#REF!</v>
      </c>
      <c r="DP68" t="e">
        <f t="shared" si="48"/>
        <v>#REF!</v>
      </c>
      <c r="DQ68" t="e">
        <f t="shared" si="48"/>
        <v>#REF!</v>
      </c>
      <c r="DR68" t="e">
        <f t="shared" si="48"/>
        <v>#REF!</v>
      </c>
      <c r="DS68" t="e">
        <f t="shared" si="48"/>
        <v>#REF!</v>
      </c>
      <c r="DT68" t="e">
        <f t="shared" si="48"/>
        <v>#REF!</v>
      </c>
      <c r="DU68" t="e">
        <f t="shared" si="48"/>
        <v>#REF!</v>
      </c>
      <c r="DV68" t="e">
        <f t="shared" si="48"/>
        <v>#REF!</v>
      </c>
      <c r="DW68" t="e">
        <f t="shared" si="48"/>
        <v>#REF!</v>
      </c>
      <c r="DX68" t="e">
        <f t="shared" si="48"/>
        <v>#REF!</v>
      </c>
    </row>
    <row r="69" spans="1:128" x14ac:dyDescent="0.3">
      <c r="A69" s="423" t="str">
        <f t="shared" si="49"/>
        <v>125A</v>
      </c>
      <c r="B69" t="str">
        <f t="shared" si="50"/>
        <v>5_Subdirección Financiera</v>
      </c>
      <c r="C69">
        <f t="shared" si="8"/>
        <v>5</v>
      </c>
      <c r="D69" t="str">
        <f t="shared" si="0"/>
        <v>Subdirección Financiera</v>
      </c>
      <c r="E69" t="str">
        <f t="shared" si="51"/>
        <v>fin</v>
      </c>
      <c r="F69" s="207" t="str">
        <f>Corporativa!D23</f>
        <v>125A</v>
      </c>
      <c r="G69" t="str">
        <f t="shared" si="52"/>
        <v>Suma</v>
      </c>
      <c r="H69" t="str">
        <f t="shared" si="52"/>
        <v>Número</v>
      </c>
      <c r="I69" t="str">
        <f t="shared" si="52"/>
        <v>No Disponible / No Aplica</v>
      </c>
      <c r="J69">
        <f t="shared" si="52"/>
        <v>3</v>
      </c>
      <c r="K69" t="str">
        <f>+IFERROR(VLOOKUP($F69,Corporativa_1,MATCH(K$5,Corporativa!$D$9:$V$9,0),0),"")</f>
        <v>Suma</v>
      </c>
      <c r="L69">
        <f>+IFERROR(VLOOKUP($F69,Corporativa_1,MATCH(L$5,Corporativa!$D$9:$V$9,0),0),"")</f>
        <v>1</v>
      </c>
      <c r="M69">
        <f t="shared" si="40"/>
        <v>0</v>
      </c>
      <c r="N69">
        <f>+IFERROR(VLOOKUP($F69,Corporativa_1,MATCH(N$5,Corporativa!$D$9:$V$9,0),0),"")</f>
        <v>0</v>
      </c>
      <c r="O69">
        <f>+IFERROR(VLOOKUP($F69,Corporativa_1,MATCH(O$5,Corporativa!$D$9:$V$9,0),0),"")</f>
        <v>0</v>
      </c>
      <c r="P69">
        <f>+IFERROR(VLOOKUP($F69,Corporativa_1,MATCH(P$5,Corporativa!$D$9:$V$9,0),0),"")</f>
        <v>0</v>
      </c>
      <c r="Q69">
        <f>+IFERROR(VLOOKUP($F69,Corporativa_1,MATCH(Q$5,Corporativa!$D$9:$V$9,0),0),"")</f>
        <v>1</v>
      </c>
      <c r="R69">
        <f>+IFERROR(VLOOKUP($F69,Corporativa_1,MATCH(R$5,Corporativa!$D$9:$V$9,0),0),"")</f>
        <v>0</v>
      </c>
      <c r="S69">
        <f>+IFERROR(VLOOKUP($F69,Corporativa_1,MATCH(S$5,Corporativa!$D$9:$V$9,0),0),"")</f>
        <v>0</v>
      </c>
      <c r="T69">
        <f>+IFERROR(VLOOKUP($F69,Corporativa_1,MATCH(T$5,Corporativa!$D$9:$V$9,0),0),"")</f>
        <v>1</v>
      </c>
      <c r="U69">
        <f>+IFERROR(VLOOKUP($F69,Corporativa_1,MATCH(U$5,Corporativa!$D$9:$V$9,0),0),"")</f>
        <v>0</v>
      </c>
      <c r="V69">
        <f>+IFERROR(VLOOKUP($F69,Corporativa_1,MATCH(V$5,Corporativa!$D$9:$V$9,0),0),"")</f>
        <v>0</v>
      </c>
      <c r="W69" t="str">
        <f>+IFERROR(VLOOKUP($F69,Corporativa_1,MATCH(W$5,Corporativa!$D$9:$V$9,0),0),"")</f>
        <v xml:space="preserve">* Veeduría y control a los recursos públicos
* Cumplimiento normativo para evitar sanciones. </v>
      </c>
      <c r="X69" t="str">
        <f>+IFERROR(VLOOKUP($F69,Corporativa_1,MATCH(X$5,Corporativa!$D$9:$V$9,0),0),"")</f>
        <v>* Constancia de la validación de la información contable. 
* Información de la auditoria - Control interno y Contraloría.</v>
      </c>
      <c r="Y69">
        <f>+IFERROR(IF(ISBLANK(VLOOKUP(CONCATENATE($F69,"_",Y$4),Corporativa_2,MATCH(Y$3,Corporativa!$F$27:$O$27,0),0)),"",VLOOKUP(CONCATENATE($F69,"_",Y$4),Corporativa_2,MATCH(Y$3,Corporativa!$F$27:$O$27,0),0)),"")</f>
        <v>0</v>
      </c>
      <c r="Z69">
        <f>+IFERROR(IF(ISBLANK(VLOOKUP(CONCATENATE($F69,"_",Z$4),Corporativa_2,MATCH(Z$3,Corporativa!$F$27:$O$27,0),0)),"",VLOOKUP(CONCATENATE($F69,"_",Z$4),Corporativa_2,MATCH(Z$3,Corporativa!$F$27:$O$27,0),0)),"")</f>
        <v>0</v>
      </c>
      <c r="AA69" t="str">
        <f>+IFERROR(IF(ISBLANK(VLOOKUP(CONCATENATE($F69,"_",AA$4),Corporativa_2,MATCH(AA$3,Corporativa!$F$27:$O$27,0),0)),"",VLOOKUP(CONCATENATE($F69,"_",AA$4),Corporativa_2,MATCH(AA$3,Corporativa!$F$27:$O$27,0),0)),"")</f>
        <v>N.A.</v>
      </c>
      <c r="AB69" t="str">
        <f>+IFERROR(IF(ISBLANK(VLOOKUP(CONCATENATE($F69,"_",AB$4),Corporativa_2,MATCH(AB$3,Corporativa!$F$27:$O$27,0),0)),"",VLOOKUP(CONCATENATE($F69,"_",AB$4),Corporativa_2,MATCH(AB$3,Corporativa!$F$27:$O$27,0),0)),"")</f>
        <v>N.A.</v>
      </c>
      <c r="AC69" t="str">
        <f>+IFERROR(IF(ISBLANK(VLOOKUP(CONCATENATE($F69,"_",AC$4),Corporativa_2,MATCH(AC$3,Corporativa!$F$27:$O$27,0),0)),"",VLOOKUP(CONCATENATE($F69,"_",AC$4),Corporativa_2,MATCH(AC$3,Corporativa!$F$27:$O$27,0),0)),"")</f>
        <v>N.A.</v>
      </c>
      <c r="AD69">
        <f>+IFERROR(IF(ISBLANK(VLOOKUP(CONCATENATE($F69,"_",AD$4),Corporativa_2,MATCH(AD$3,Corporativa!$F$27:$O$27,0),0)),"",VLOOKUP(CONCATENATE($F69,"_",AD$4),Corporativa_2,MATCH(AD$3,Corporativa!$F$27:$O$27,0),0)),"")</f>
        <v>0</v>
      </c>
      <c r="AE69">
        <f>+IFERROR(IF(ISBLANK(VLOOKUP(CONCATENATE($F69,"_",AE$4),Corporativa_2,MATCH(AE$3,Corporativa!$F$27:$O$27,0),0)),"",VLOOKUP(CONCATENATE($F69,"_",AE$4),Corporativa_2,MATCH(AE$3,Corporativa!$F$27:$O$27,0),0)),"")</f>
        <v>0</v>
      </c>
      <c r="AF69" t="str">
        <f>+IFERROR(IF(ISBLANK(VLOOKUP(CONCATENATE($F69,"_",AF$4),Corporativa_2,MATCH(AF$3,Corporativa!$F$27:$O$27,0),0)),"",VLOOKUP(CONCATENATE($F69,"_",AF$4),Corporativa_2,MATCH(AF$3,Corporativa!$F$27:$O$27,0),0)),"")</f>
        <v>N.A.</v>
      </c>
      <c r="AG69" t="str">
        <f>+IFERROR(IF(ISBLANK(VLOOKUP(CONCATENATE($F69,"_",AG$4),Corporativa_2,MATCH(AG$3,Corporativa!$F$27:$O$27,0),0)),"",VLOOKUP(CONCATENATE($F69,"_",AG$4),Corporativa_2,MATCH(AG$3,Corporativa!$F$27:$O$27,0),0)),"")</f>
        <v>N.A.</v>
      </c>
      <c r="AH69" t="str">
        <f>+IFERROR(IF(ISBLANK(VLOOKUP(CONCATENATE($F69,"_",AH$4),Corporativa_2,MATCH(AH$3,Corporativa!$F$27:$O$27,0),0)),"",VLOOKUP(CONCATENATE($F69,"_",AH$4),Corporativa_2,MATCH(AH$3,Corporativa!$F$27:$O$27,0),0)),"")</f>
        <v>N.A.</v>
      </c>
      <c r="AI69">
        <f>+IFERROR(IF(ISBLANK(VLOOKUP(CONCATENATE($F69,"_",AI$4),Corporativa_2,MATCH(AI$3,Corporativa!$F$27:$O$27,0),0)),"",VLOOKUP(CONCATENATE($F69,"_",AI$4),Corporativa_2,MATCH(AI$3,Corporativa!$F$27:$O$27,0),0)),"")</f>
        <v>0</v>
      </c>
      <c r="AJ69">
        <f>+IFERROR(IF(ISBLANK(VLOOKUP(CONCATENATE($F69,"_",AJ$4),Corporativa_2,MATCH(AJ$3,Corporativa!$F$27:$O$27,0),0)),"",VLOOKUP(CONCATENATE($F69,"_",AJ$4),Corporativa_2,MATCH(AJ$3,Corporativa!$F$27:$O$27,0),0)),"")</f>
        <v>0</v>
      </c>
      <c r="AK69" t="str">
        <f>+IFERROR(IF(ISBLANK(VLOOKUP(CONCATENATE($F69,"_",AK$4),Corporativa_2,MATCH(AK$3,Corporativa!$F$27:$O$27,0),0)),"",VLOOKUP(CONCATENATE($F69,"_",AK$4),Corporativa_2,MATCH(AK$3,Corporativa!$F$27:$O$27,0),0)),"")</f>
        <v>N.A.</v>
      </c>
      <c r="AL69" t="str">
        <f>+IFERROR(IF(ISBLANK(VLOOKUP(CONCATENATE($F69,"_",AL$4),Corporativa_2,MATCH(AL$3,Corporativa!$F$27:$O$27,0),0)),"",VLOOKUP(CONCATENATE($F69,"_",AL$4),Corporativa_2,MATCH(AL$3,Corporativa!$F$27:$O$27,0),0)),"")</f>
        <v>N.A.</v>
      </c>
      <c r="AM69" t="str">
        <f>+IFERROR(IF(ISBLANK(VLOOKUP(CONCATENATE($F69,"_",AM$4),Corporativa_2,MATCH(AM$3,Corporativa!$F$27:$O$27,0),0)),"",VLOOKUP(CONCATENATE($F69,"_",AM$4),Corporativa_2,MATCH(AM$3,Corporativa!$F$27:$O$27,0),0)),"")</f>
        <v>N.A.</v>
      </c>
      <c r="AN69">
        <f>+IFERROR(IF(ISBLANK(VLOOKUP(CONCATENATE($F69,"_",AN$4),Corporativa_2,MATCH(AN$3,Corporativa!$F$27:$O$27,0),0)),"",VLOOKUP(CONCATENATE($F69,"_",AN$4),Corporativa_2,MATCH(AN$3,Corporativa!$F$27:$O$27,0),0)),"")</f>
        <v>1</v>
      </c>
      <c r="AO69">
        <f>+IFERROR(IF(ISBLANK(VLOOKUP(CONCATENATE($F69,"_",AO$4),Corporativa_2,MATCH(AO$3,Corporativa!$F$27:$O$27,0),0)),"",VLOOKUP(CONCATENATE($F69,"_",AO$4),Corporativa_2,MATCH(AO$3,Corporativa!$F$27:$O$27,0),0)),"")</f>
        <v>0</v>
      </c>
      <c r="AP69" t="str">
        <f>+IFERROR(IF(ISBLANK(VLOOKUP(CONCATENATE($F69,"_",AP$4),Corporativa_2,MATCH(AP$3,Corporativa!$F$27:$O$27,0),0)),"",VLOOKUP(CONCATENATE($F69,"_",AP$4),Corporativa_2,MATCH(AP$3,Corporativa!$F$27:$O$27,0),0)),"")</f>
        <v>Se presenta el estado financiero del primer trimestre, reflejando la operatividad de la entidad. Atendiendo las nuevas directrices por el cambio de administración</v>
      </c>
      <c r="AQ69" t="str">
        <f>+IFERROR(IF(ISBLANK(VLOOKUP(CONCATENATE($F69,"_",AQ$4),Corporativa_2,MATCH(AQ$3,Corporativa!$F$27:$O$27,0),0)),"",VLOOKUP(CONCATENATE($F69,"_",AQ$4),Corporativa_2,MATCH(AQ$3,Corporativa!$F$27:$O$27,0),0)),"")</f>
        <v>N.A.</v>
      </c>
      <c r="AR69" t="str">
        <f>+IFERROR(IF(ISBLANK(VLOOKUP(CONCATENATE($F69,"_",AR$4),Corporativa_2,MATCH(AR$3,Corporativa!$F$27:$O$27,0),0)),"",VLOOKUP(CONCATENATE($F69,"_",AR$4),Corporativa_2,MATCH(AR$3,Corporativa!$F$27:$O$27,0),0)),"")</f>
        <v>Difusión ante la Ciudadanía de los estados financieros de la Secretaría General de la Alcaldía Mayor de Bogotá.</v>
      </c>
      <c r="AS69">
        <f>+IFERROR(IF(ISBLANK(VLOOKUP(CONCATENATE($F69,"_",AS$4),Corporativa_2,MATCH(AS$3,Corporativa!$F$27:$O$27,0),0)),"",VLOOKUP(CONCATENATE($F69,"_",AS$4),Corporativa_2,MATCH(AS$3,Corporativa!$F$27:$O$27,0),0)),"")</f>
        <v>0</v>
      </c>
      <c r="AT69">
        <f>+IFERROR(IF(ISBLANK(VLOOKUP(CONCATENATE($F69,"_",AT$4),Corporativa_2,MATCH(AT$3,Corporativa!$F$27:$O$27,0),0)),"",VLOOKUP(CONCATENATE($F69,"_",AT$4),Corporativa_2,MATCH(AT$3,Corporativa!$F$27:$O$27,0),0)),"")</f>
        <v>0</v>
      </c>
      <c r="AU69" t="str">
        <f>+IFERROR(IF(ISBLANK(VLOOKUP(CONCATENATE($F69,"_",AU$4),Corporativa_2,MATCH(AU$3,Corporativa!$F$27:$O$27,0),0)),"",VLOOKUP(CONCATENATE($F69,"_",AU$4),Corporativa_2,MATCH(AU$3,Corporativa!$F$27:$O$27,0),0)),"")</f>
        <v>N.A.</v>
      </c>
      <c r="AV69" t="str">
        <f>+IFERROR(IF(ISBLANK(VLOOKUP(CONCATENATE($F69,"_",AV$4),Corporativa_2,MATCH(AV$3,Corporativa!$F$27:$O$27,0),0)),"",VLOOKUP(CONCATENATE($F69,"_",AV$4),Corporativa_2,MATCH(AV$3,Corporativa!$F$27:$O$27,0),0)),"")</f>
        <v>N.A.</v>
      </c>
      <c r="AW69" t="str">
        <f>+IFERROR(IF(ISBLANK(VLOOKUP(CONCATENATE($F69,"_",AW$4),Corporativa_2,MATCH(AW$3,Corporativa!$F$27:$O$27,0),0)),"",VLOOKUP(CONCATENATE($F69,"_",AW$4),Corporativa_2,MATCH(AW$3,Corporativa!$F$27:$O$27,0),0)),"")</f>
        <v>N.A.</v>
      </c>
      <c r="AX69">
        <f>+IFERROR(IF(ISBLANK(VLOOKUP(CONCATENATE($F69,"_",AX$4),Corporativa_2,MATCH(AX$3,Corporativa!$F$27:$O$27,0),0)),"",VLOOKUP(CONCATENATE($F69,"_",AX$4),Corporativa_2,MATCH(AX$3,Corporativa!$F$27:$O$27,0),0)),"")</f>
        <v>0</v>
      </c>
      <c r="AY69">
        <f>+IFERROR(IF(ISBLANK(VLOOKUP(CONCATENATE($F69,"_",AY$4),Corporativa_2,MATCH(AY$3,Corporativa!$F$27:$O$27,0),0)),"",VLOOKUP(CONCATENATE($F69,"_",AY$4),Corporativa_2,MATCH(AY$3,Corporativa!$F$27:$O$27,0),0)),"")</f>
        <v>0</v>
      </c>
      <c r="AZ69" t="str">
        <f>+IFERROR(IF(ISBLANK(VLOOKUP(CONCATENATE($F69,"_",AZ$4),Corporativa_2,MATCH(AZ$3,Corporativa!$F$27:$O$27,0),0)),"",VLOOKUP(CONCATENATE($F69,"_",AZ$4),Corporativa_2,MATCH(AZ$3,Corporativa!$F$27:$O$27,0),0)),"")</f>
        <v>N.A.</v>
      </c>
      <c r="BA69" t="str">
        <f>+IFERROR(IF(ISBLANK(VLOOKUP(CONCATENATE($F69,"_",BA$4),Corporativa_2,MATCH(BA$3,Corporativa!$F$27:$O$27,0),0)),"",VLOOKUP(CONCATENATE($F69,"_",BA$4),Corporativa_2,MATCH(BA$3,Corporativa!$F$27:$O$27,0),0)),"")</f>
        <v>N.A.</v>
      </c>
      <c r="BB69" t="str">
        <f>+IFERROR(IF(ISBLANK(VLOOKUP(CONCATENATE($F69,"_",BB$4),Corporativa_2,MATCH(BB$3,Corporativa!$F$27:$O$27,0),0)),"",VLOOKUP(CONCATENATE($F69,"_",BB$4),Corporativa_2,MATCH(BB$3,Corporativa!$F$27:$O$27,0),0)),"")</f>
        <v>N.A.</v>
      </c>
      <c r="BC69">
        <f t="shared" si="10"/>
        <v>1</v>
      </c>
      <c r="BD69">
        <f t="shared" si="10"/>
        <v>0</v>
      </c>
      <c r="CI69" t="str">
        <f t="shared" si="45"/>
        <v>Cumple</v>
      </c>
      <c r="CJ69" t="str">
        <f t="shared" si="45"/>
        <v>Cumplido</v>
      </c>
      <c r="CK69" t="str">
        <f t="shared" si="45"/>
        <v>Adecuado</v>
      </c>
      <c r="CL69" t="str">
        <f t="shared" si="45"/>
        <v>Coherente</v>
      </c>
      <c r="CM69" t="str">
        <f t="shared" si="45"/>
        <v>Concuerda</v>
      </c>
      <c r="CN69" t="str">
        <f t="shared" si="45"/>
        <v>Concuerda</v>
      </c>
      <c r="CO69" t="str">
        <f t="shared" si="45"/>
        <v>Relación directa</v>
      </c>
      <c r="CP69" t="str">
        <f t="shared" si="45"/>
        <v>Adecuado</v>
      </c>
      <c r="CQ69" t="str">
        <f t="shared" si="45"/>
        <v>Oportuna</v>
      </c>
      <c r="CR69" t="str">
        <f t="shared" si="45"/>
        <v>Sin observaciones.</v>
      </c>
      <c r="CS69" t="str">
        <f t="shared" si="46"/>
        <v>Cesar Arcos</v>
      </c>
      <c r="CT69" t="str">
        <f t="shared" si="46"/>
        <v>No aplica</v>
      </c>
      <c r="CU69" t="str">
        <f t="shared" si="46"/>
        <v>No programó</v>
      </c>
      <c r="CV69" t="str">
        <f t="shared" si="46"/>
        <v>No aplica</v>
      </c>
      <c r="CW69" t="str">
        <f t="shared" si="46"/>
        <v>No aplica</v>
      </c>
      <c r="CX69" t="str">
        <f t="shared" si="46"/>
        <v>No aplica</v>
      </c>
      <c r="CY69" t="str">
        <f t="shared" si="46"/>
        <v>No aplica</v>
      </c>
      <c r="CZ69" t="str">
        <f t="shared" si="46"/>
        <v>No aplica</v>
      </c>
      <c r="DA69" t="str">
        <f t="shared" si="46"/>
        <v>No aplica</v>
      </c>
      <c r="DB69" t="str">
        <f t="shared" si="46"/>
        <v>Oportuna</v>
      </c>
      <c r="DC69" t="str">
        <f t="shared" si="47"/>
        <v>Ninguna</v>
      </c>
      <c r="DD69" t="str">
        <f t="shared" si="47"/>
        <v>Cesar Arcos</v>
      </c>
      <c r="DE69" t="e">
        <f t="shared" si="47"/>
        <v>#REF!</v>
      </c>
      <c r="DF69" t="e">
        <f t="shared" si="47"/>
        <v>#REF!</v>
      </c>
      <c r="DG69" t="e">
        <f t="shared" si="47"/>
        <v>#REF!</v>
      </c>
      <c r="DH69" t="e">
        <f t="shared" si="47"/>
        <v>#REF!</v>
      </c>
      <c r="DI69" t="e">
        <f t="shared" si="47"/>
        <v>#REF!</v>
      </c>
      <c r="DJ69" t="e">
        <f t="shared" si="47"/>
        <v>#REF!</v>
      </c>
      <c r="DK69" t="e">
        <f t="shared" si="47"/>
        <v>#REF!</v>
      </c>
      <c r="DL69" t="e">
        <f t="shared" si="47"/>
        <v>#REF!</v>
      </c>
      <c r="DM69" t="e">
        <f t="shared" si="48"/>
        <v>#REF!</v>
      </c>
      <c r="DN69" t="e">
        <f t="shared" si="48"/>
        <v>#REF!</v>
      </c>
      <c r="DO69" t="e">
        <f t="shared" si="48"/>
        <v>#REF!</v>
      </c>
      <c r="DP69" t="e">
        <f t="shared" si="48"/>
        <v>#REF!</v>
      </c>
      <c r="DQ69" t="e">
        <f t="shared" si="48"/>
        <v>#REF!</v>
      </c>
      <c r="DR69" t="e">
        <f t="shared" si="48"/>
        <v>#REF!</v>
      </c>
      <c r="DS69" t="e">
        <f t="shared" si="48"/>
        <v>#REF!</v>
      </c>
      <c r="DT69" t="e">
        <f t="shared" si="48"/>
        <v>#REF!</v>
      </c>
      <c r="DU69" t="e">
        <f t="shared" si="48"/>
        <v>#REF!</v>
      </c>
      <c r="DV69" t="e">
        <f t="shared" si="48"/>
        <v>#REF!</v>
      </c>
      <c r="DW69" t="e">
        <f t="shared" si="48"/>
        <v>#REF!</v>
      </c>
      <c r="DX69" t="e">
        <f t="shared" si="48"/>
        <v>#REF!</v>
      </c>
    </row>
  </sheetData>
  <sheetProtection algorithmName="SHA-512" hashValue="O/e21PSzhE1LA3IDSNslu4hh7tHGYBmHPXxb+TiuLDvaKfoWsq3MfPuUQPkl+iOvN9k525ttQUWGbSv0kCOn7w==" saltValue="vbaUTN6+oKrXQkvLpHNRqQ==" spinCount="100000" sheet="1" objects="1" scenarios="1"/>
  <mergeCells count="1">
    <mergeCell ref="K4:X4"/>
  </mergeCells>
  <phoneticPr fontId="11" type="noConversion"/>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J86"/>
  <sheetViews>
    <sheetView workbookViewId="0"/>
  </sheetViews>
  <sheetFormatPr baseColWidth="10" defaultColWidth="11.44140625" defaultRowHeight="14.4" x14ac:dyDescent="0.3"/>
  <cols>
    <col min="1" max="1" width="10.33203125" bestFit="1" customWidth="1"/>
    <col min="2" max="2" width="7.44140625" customWidth="1"/>
    <col min="3" max="3" width="21.6640625" customWidth="1"/>
    <col min="4" max="4" width="18.6640625" bestFit="1" customWidth="1"/>
    <col min="5" max="5" width="16.33203125" bestFit="1" customWidth="1"/>
    <col min="6" max="6" width="16.5546875" customWidth="1"/>
    <col min="7" max="7" width="13.44140625" customWidth="1"/>
    <col min="8" max="8" width="21.5546875" customWidth="1"/>
    <col min="9" max="9" width="16.6640625" customWidth="1"/>
    <col min="11" max="11" width="23.33203125" customWidth="1"/>
    <col min="14" max="14" width="13.44140625" bestFit="1" customWidth="1"/>
    <col min="20" max="21" width="11.5546875" customWidth="1"/>
    <col min="22" max="22" width="17.5546875" customWidth="1"/>
    <col min="23" max="23" width="14.44140625" customWidth="1"/>
    <col min="24" max="26" width="11.5546875" customWidth="1"/>
    <col min="27" max="28" width="18" customWidth="1"/>
    <col min="29" max="30" width="11.5546875" customWidth="1"/>
    <col min="31" max="32" width="14.44140625" customWidth="1"/>
    <col min="33" max="34" width="11.5546875" customWidth="1"/>
    <col min="35" max="36" width="14.44140625" customWidth="1"/>
    <col min="37" max="38" width="11.5546875" customWidth="1"/>
    <col min="39" max="40" width="14.44140625" customWidth="1"/>
    <col min="41" max="42" width="11.5546875" customWidth="1"/>
    <col min="43" max="44" width="14.44140625" customWidth="1"/>
    <col min="45" max="47" width="11.5546875" customWidth="1"/>
    <col min="48" max="48" width="14.44140625" customWidth="1"/>
    <col min="49" max="49" width="11.5546875" customWidth="1"/>
  </cols>
  <sheetData>
    <row r="1" spans="1:62" x14ac:dyDescent="0.3">
      <c r="AS1" t="s">
        <v>534</v>
      </c>
    </row>
    <row r="3" spans="1:62" x14ac:dyDescent="0.3">
      <c r="A3" s="11" t="s">
        <v>325</v>
      </c>
      <c r="B3" s="11" t="s">
        <v>535</v>
      </c>
      <c r="C3" s="11" t="s">
        <v>536</v>
      </c>
      <c r="D3" s="11" t="s">
        <v>537</v>
      </c>
      <c r="E3" s="11" t="s">
        <v>538</v>
      </c>
      <c r="F3" s="11" t="s">
        <v>539</v>
      </c>
      <c r="G3" s="11" t="s">
        <v>540</v>
      </c>
      <c r="H3" s="11" t="s">
        <v>18</v>
      </c>
      <c r="I3" s="11" t="s">
        <v>541</v>
      </c>
      <c r="J3" s="11" t="s">
        <v>542</v>
      </c>
      <c r="K3" s="12" t="s">
        <v>543</v>
      </c>
      <c r="L3" s="11" t="s">
        <v>544</v>
      </c>
      <c r="M3" s="11" t="s">
        <v>545</v>
      </c>
      <c r="N3" s="19" t="s">
        <v>546</v>
      </c>
      <c r="O3" s="11" t="s">
        <v>547</v>
      </c>
      <c r="P3" s="11" t="s">
        <v>548</v>
      </c>
      <c r="Q3" s="11" t="s">
        <v>549</v>
      </c>
      <c r="R3" s="11" t="s">
        <v>550</v>
      </c>
      <c r="S3" s="11" t="s">
        <v>551</v>
      </c>
      <c r="T3" s="11" t="s">
        <v>552</v>
      </c>
      <c r="U3" s="11" t="s">
        <v>553</v>
      </c>
      <c r="V3" s="19" t="s">
        <v>554</v>
      </c>
      <c r="W3" s="19" t="s">
        <v>555</v>
      </c>
      <c r="X3" s="11" t="s">
        <v>556</v>
      </c>
      <c r="Y3" s="11" t="s">
        <v>557</v>
      </c>
      <c r="Z3" s="11" t="s">
        <v>558</v>
      </c>
      <c r="AA3" s="19" t="s">
        <v>559</v>
      </c>
      <c r="AB3" s="19" t="s">
        <v>560</v>
      </c>
      <c r="AC3" s="11" t="s">
        <v>561</v>
      </c>
      <c r="AD3" s="11" t="s">
        <v>562</v>
      </c>
      <c r="AE3" s="19" t="s">
        <v>563</v>
      </c>
      <c r="AF3" s="19" t="s">
        <v>564</v>
      </c>
      <c r="AG3" s="11" t="s">
        <v>565</v>
      </c>
      <c r="AH3" s="11" t="s">
        <v>566</v>
      </c>
      <c r="AI3" s="19" t="s">
        <v>567</v>
      </c>
      <c r="AJ3" s="19" t="s">
        <v>568</v>
      </c>
      <c r="AK3" s="11" t="s">
        <v>569</v>
      </c>
      <c r="AL3" s="11" t="s">
        <v>570</v>
      </c>
      <c r="AM3" s="19" t="s">
        <v>571</v>
      </c>
      <c r="AN3" s="19" t="s">
        <v>572</v>
      </c>
      <c r="AO3" s="11" t="s">
        <v>573</v>
      </c>
      <c r="AP3" s="11" t="s">
        <v>574</v>
      </c>
      <c r="AQ3" s="19" t="s">
        <v>575</v>
      </c>
      <c r="AR3" s="19" t="s">
        <v>576</v>
      </c>
      <c r="AS3" s="11" t="s">
        <v>577</v>
      </c>
      <c r="AT3" s="19" t="s">
        <v>578</v>
      </c>
      <c r="AU3" s="11" t="s">
        <v>579</v>
      </c>
      <c r="AV3" s="19" t="s">
        <v>580</v>
      </c>
      <c r="AW3" s="19" t="s">
        <v>581</v>
      </c>
      <c r="AX3" s="20" t="s">
        <v>582</v>
      </c>
      <c r="AY3" s="20" t="s">
        <v>583</v>
      </c>
      <c r="AZ3" s="20" t="s">
        <v>584</v>
      </c>
      <c r="BA3" s="20" t="s">
        <v>585</v>
      </c>
      <c r="BB3" s="20" t="s">
        <v>586</v>
      </c>
      <c r="BC3" s="20" t="s">
        <v>587</v>
      </c>
      <c r="BD3" s="20" t="s">
        <v>427</v>
      </c>
      <c r="BE3" t="s">
        <v>588</v>
      </c>
      <c r="BF3" t="s">
        <v>589</v>
      </c>
      <c r="BG3" t="s">
        <v>590</v>
      </c>
      <c r="BH3" t="s">
        <v>591</v>
      </c>
      <c r="BI3" t="s">
        <v>592</v>
      </c>
      <c r="BJ3" t="s">
        <v>593</v>
      </c>
    </row>
    <row r="4" spans="1:62" x14ac:dyDescent="0.3">
      <c r="A4" t="s">
        <v>594</v>
      </c>
      <c r="B4">
        <v>1081</v>
      </c>
      <c r="C4" t="s">
        <v>43</v>
      </c>
      <c r="D4">
        <v>6</v>
      </c>
      <c r="E4" t="s">
        <v>595</v>
      </c>
      <c r="F4" t="s">
        <v>596</v>
      </c>
      <c r="G4" t="s">
        <v>597</v>
      </c>
      <c r="H4" t="s">
        <v>39</v>
      </c>
      <c r="I4" t="s">
        <v>598</v>
      </c>
      <c r="J4" t="s">
        <v>599</v>
      </c>
      <c r="K4" t="s">
        <v>600</v>
      </c>
      <c r="L4" t="s">
        <v>601</v>
      </c>
      <c r="M4" t="s">
        <v>602</v>
      </c>
      <c r="N4" t="str">
        <f t="shared" ref="N4:N35" si="0">+A4&amp;"_"&amp;Q4</f>
        <v>145B_1</v>
      </c>
      <c r="O4" s="10">
        <v>1</v>
      </c>
      <c r="P4" s="13">
        <v>1</v>
      </c>
      <c r="Q4">
        <v>1</v>
      </c>
      <c r="R4" t="s">
        <v>603</v>
      </c>
      <c r="S4" t="s">
        <v>604</v>
      </c>
      <c r="T4" t="s">
        <v>44</v>
      </c>
      <c r="U4" s="13">
        <v>0.2</v>
      </c>
      <c r="V4" s="13">
        <f t="shared" ref="V4:V35" si="1">+SUMIF($E$4:$E$86,E4,$U$4:$U$86)</f>
        <v>0.4</v>
      </c>
      <c r="W4" s="13">
        <f>+IFERROR(U4/V4,"N/A")</f>
        <v>0.5</v>
      </c>
      <c r="X4" s="9">
        <v>43831</v>
      </c>
      <c r="Y4" s="9">
        <v>43981</v>
      </c>
      <c r="Z4" s="10">
        <v>0</v>
      </c>
      <c r="AA4" s="13">
        <f t="shared" ref="AA4:AA35" si="2">+Z4*$W4</f>
        <v>0</v>
      </c>
      <c r="AB4" s="13">
        <f t="shared" ref="AB4:AB35" si="3">+SUMIF($E$4:$E$86,$E4,AA$4:AA$86)</f>
        <v>0.09</v>
      </c>
      <c r="AD4" s="10">
        <v>0</v>
      </c>
      <c r="AE4" s="13">
        <f t="shared" ref="AE4:AE35" si="4">+AD4*$W4</f>
        <v>0</v>
      </c>
      <c r="AF4" s="13">
        <f t="shared" ref="AF4:AF35" si="5">+SUMIF($E$4:$E$86,$E4,AE$4:AE$86)</f>
        <v>0.09</v>
      </c>
      <c r="AH4" s="10">
        <v>0.13</v>
      </c>
      <c r="AI4" s="13">
        <f t="shared" ref="AI4:AI35" si="6">+AH4*$W4</f>
        <v>6.5000000000000002E-2</v>
      </c>
      <c r="AJ4" s="13">
        <f t="shared" ref="AJ4:AJ35" si="7">+SUMIF($E$4:$E$86,$E4,AI$4:AI$86)</f>
        <v>0.18</v>
      </c>
      <c r="AK4" t="s">
        <v>605</v>
      </c>
      <c r="AL4" s="10">
        <v>0.4</v>
      </c>
      <c r="AM4" s="13">
        <f t="shared" ref="AM4:AM35" si="8">+AL4*$W4</f>
        <v>0.2</v>
      </c>
      <c r="AN4" s="13">
        <f t="shared" ref="AN4:AN35" si="9">+SUMIF($E$4:$E$86,$E4,AM$4:AM$86)</f>
        <v>0.29000000000000004</v>
      </c>
      <c r="AO4" t="s">
        <v>606</v>
      </c>
      <c r="AP4" s="10">
        <v>0.47</v>
      </c>
      <c r="AQ4" s="13">
        <f t="shared" ref="AQ4:AQ35" si="10">+AP4*$W4</f>
        <v>0.23499999999999999</v>
      </c>
      <c r="AR4" s="13">
        <f t="shared" ref="AR4:AR35" si="11">+SUMIF($E$4:$E$86,$E4,AQ$4:AQ$86)</f>
        <v>0.35</v>
      </c>
      <c r="AS4" t="s">
        <v>606</v>
      </c>
      <c r="AT4" t="str">
        <f t="shared" ref="AT4:AT35" si="12">+"ENERO: "&amp;AC4&amp;" FEBRERO: "&amp;AG4&amp;" MARZO: "&amp;AK4&amp;" ABRIL: "&amp;AO4&amp;" MAYO: "&amp;AS4</f>
        <v xml:space="preserve">ENERO:  FEBRERO:  MARZO: 1. Fichas tecnicas de: UPS para Archivo de Bogota y clav
2. Correo para revisión de fichas por parte de contratación:  UPS para Archivo de Bogota y clav
 ABRIL: 3. Fichas tecnicas de:  Sistema WAF.
4. Correo para revisión de fichas por parte de contratación:   Sistema WAF
5. Solicitud Cotizaciones de: UPS para Archivo de Bogota y clav
6. Elaboración estudio de mercado: UPS para Archivo de Bogota y clav
7. Memorandos de la OTIC para Direccion Contratación UPS para Archivo de Bogota y clav.
8. Ficha tecnica de Firewalle  MAYO: 3. Fichas tecnicas de:  Sistema WAF.
4. Correo para revisión de fichas por parte de contratación:   Sistema WAF
5. Solicitud Cotizaciones de: UPS para Archivo de Bogota y clav
6. Elaboración estudio de mercado: UPS para Archivo de Bogota y clav
7. Memorandos de la OTIC para Direccion Contratación UPS para Archivo de Bogota y clav.
8. Ficha tecnica de Firewalle </v>
      </c>
      <c r="AU4" s="14">
        <f t="shared" ref="AU4:AU35" si="13">+Z4+AD4+AH4+AL4+AP4</f>
        <v>1</v>
      </c>
      <c r="AV4" s="13">
        <f t="shared" ref="AV4:AV35" si="14">+AU4*$W4</f>
        <v>0.5</v>
      </c>
      <c r="AW4" s="13">
        <f t="shared" ref="AW4:AW35" si="15">+SUMIF($E$4:$E$86,$E4,AV$4:AV$86)</f>
        <v>1</v>
      </c>
      <c r="AX4" t="s">
        <v>604</v>
      </c>
      <c r="AY4" t="s">
        <v>607</v>
      </c>
      <c r="BD4" t="str">
        <f t="shared" ref="BD4:BD35" si="16">+_xlfn.CONCAT(AX4:BC4)</f>
        <v>Actualizar plataforma de seguridad de la informaciónGestionar la plataforma de Seguridad de la Información</v>
      </c>
      <c r="BE4" t="e">
        <f>+VLOOKUP($N4,P1081_3,MATCH(BE$3,PAAC!#REF!,0),0)</f>
        <v>#NAME?</v>
      </c>
      <c r="BF4" t="e">
        <f>+VLOOKUP($N4,P1081_3,MATCH(BF$3,PAAC!#REF!,0),0)</f>
        <v>#NAME?</v>
      </c>
      <c r="BG4" t="e">
        <f>+VLOOKUP($N4,P1081_3,MATCH(BG$3,PAAC!#REF!,0),0)</f>
        <v>#NAME?</v>
      </c>
      <c r="BH4" t="e">
        <f>+VLOOKUP($N4,P1081_3,MATCH(BH$3,PAAC!#REF!,0),0)</f>
        <v>#NAME?</v>
      </c>
      <c r="BI4" t="e">
        <f>+VLOOKUP($N4,P1081_3,MATCH(BI$3,PAAC!#REF!,0),0)</f>
        <v>#NAME?</v>
      </c>
      <c r="BJ4" t="str">
        <f t="shared" ref="BJ4:BJ35" si="17">+IFERROR(AVERAGEIF(BE4:BI4,"&lt;&gt;0"),"")</f>
        <v/>
      </c>
    </row>
    <row r="5" spans="1:62" x14ac:dyDescent="0.3">
      <c r="A5" t="s">
        <v>594</v>
      </c>
      <c r="B5">
        <v>1081</v>
      </c>
      <c r="C5" t="s">
        <v>43</v>
      </c>
      <c r="D5">
        <v>6</v>
      </c>
      <c r="E5" t="s">
        <v>595</v>
      </c>
      <c r="F5" t="s">
        <v>596</v>
      </c>
      <c r="G5" t="s">
        <v>597</v>
      </c>
      <c r="H5" t="s">
        <v>39</v>
      </c>
      <c r="I5" t="s">
        <v>598</v>
      </c>
      <c r="J5" t="s">
        <v>599</v>
      </c>
      <c r="K5" t="s">
        <v>600</v>
      </c>
      <c r="L5" t="s">
        <v>601</v>
      </c>
      <c r="M5" t="s">
        <v>602</v>
      </c>
      <c r="N5" t="str">
        <f t="shared" si="0"/>
        <v>145B_2</v>
      </c>
      <c r="O5" s="10">
        <v>1</v>
      </c>
      <c r="P5" s="13">
        <v>1</v>
      </c>
      <c r="Q5">
        <v>2</v>
      </c>
      <c r="R5" t="s">
        <v>608</v>
      </c>
      <c r="S5" t="s">
        <v>607</v>
      </c>
      <c r="T5" t="s">
        <v>44</v>
      </c>
      <c r="U5" s="13">
        <v>0.2</v>
      </c>
      <c r="V5" s="13">
        <f t="shared" si="1"/>
        <v>0.4</v>
      </c>
      <c r="W5" s="13">
        <f t="shared" ref="W5:W68" si="18">+IFERROR(U5/V5,"N/A")</f>
        <v>0.5</v>
      </c>
      <c r="X5" s="9">
        <v>43831</v>
      </c>
      <c r="Y5" s="9">
        <v>43981</v>
      </c>
      <c r="Z5" s="10">
        <v>0.18</v>
      </c>
      <c r="AA5" s="13">
        <f t="shared" si="2"/>
        <v>0.09</v>
      </c>
      <c r="AB5" s="13">
        <f t="shared" si="3"/>
        <v>0.09</v>
      </c>
      <c r="AC5" t="s">
        <v>609</v>
      </c>
      <c r="AD5" s="10">
        <v>0.18</v>
      </c>
      <c r="AE5" s="13">
        <f t="shared" si="4"/>
        <v>0.09</v>
      </c>
      <c r="AF5" s="13">
        <f t="shared" si="5"/>
        <v>0.09</v>
      </c>
      <c r="AG5" t="s">
        <v>610</v>
      </c>
      <c r="AH5" s="10">
        <v>0.23</v>
      </c>
      <c r="AI5" s="13">
        <f t="shared" si="6"/>
        <v>0.115</v>
      </c>
      <c r="AJ5" s="13">
        <f t="shared" si="7"/>
        <v>0.18</v>
      </c>
      <c r="AK5" t="s">
        <v>611</v>
      </c>
      <c r="AL5" s="10">
        <v>0.18</v>
      </c>
      <c r="AM5" s="13">
        <f t="shared" si="8"/>
        <v>0.09</v>
      </c>
      <c r="AN5" s="13">
        <f t="shared" si="9"/>
        <v>0.29000000000000004</v>
      </c>
      <c r="AO5" t="s">
        <v>612</v>
      </c>
      <c r="AP5" s="10">
        <v>0.23</v>
      </c>
      <c r="AQ5" s="13">
        <f t="shared" si="10"/>
        <v>0.115</v>
      </c>
      <c r="AR5" s="13">
        <f t="shared" si="11"/>
        <v>0.35</v>
      </c>
      <c r="AS5" t="s">
        <v>612</v>
      </c>
      <c r="AT5" t="str">
        <f t="shared" si="12"/>
        <v xml:space="preserve">ENERO: Memorandos de la OTIC para Direccion Contratación contratación de: Sosporte y mantenimiento de:
1- Red Lan y Wan, servidores
2- Plataforma de registro de solicitud servicios e inventario informatico.
3. Contratos (link de secop II)
 FEBRERO: 4 Memorandos de la OTIC para Direccion Contratación de desinstalación software no licenciado
5 Contrato publicado  (link de secop II) 
6 Reporte  de contratos en ejecución (link secop II) MARZO: 7 Publicación de Bases de Datos de la entidad ante la Superintendencia de Industrial y Comercio.
8 Memorandos de la OTIC para Direccion Contratación contratación de  Sostenibilidad del Sistema seguridad de la Información 
9 Contrato publicado (link de secop II)
10  Reporte  de contratos en ejecución (link secop II) ABRIL: 11 Publicacion en la pagina web de la entidad la policita de protección datos personales
12  Reporte  de contratos en ejecución (link secop II) 
13. Informe avance de escaneo y analisis de vulnerabilidades en nimino 1 sistema de inf.
 MAYO: 11 Publicacion en la pagina web de la entidad la policita de protección datos personales
12  Reporte  de contratos en ejecución (link secop II) 
13. Informe avance de escaneo y analisis de vulnerabilidades en nimino 1 sistema de inf.
</v>
      </c>
      <c r="AU5" s="14">
        <f t="shared" si="13"/>
        <v>1</v>
      </c>
      <c r="AV5" s="13">
        <f t="shared" si="14"/>
        <v>0.5</v>
      </c>
      <c r="AW5" s="13">
        <f t="shared" si="15"/>
        <v>1</v>
      </c>
      <c r="AX5" t="s">
        <v>604</v>
      </c>
      <c r="AY5" t="s">
        <v>607</v>
      </c>
      <c r="BD5" t="str">
        <f t="shared" si="16"/>
        <v>Actualizar plataforma de seguridad de la informaciónGestionar la plataforma de Seguridad de la Información</v>
      </c>
      <c r="BE5" t="e">
        <f>+VLOOKUP($N5,P1081_3,MATCH(BE$3,PAAC!#REF!,0),0)</f>
        <v>#NAME?</v>
      </c>
      <c r="BF5" t="e">
        <f>+VLOOKUP($N5,P1081_3,MATCH(BF$3,PAAC!#REF!,0),0)</f>
        <v>#NAME?</v>
      </c>
      <c r="BG5" t="e">
        <f>+VLOOKUP($N5,P1081_3,MATCH(BG$3,PAAC!#REF!,0),0)</f>
        <v>#NAME?</v>
      </c>
      <c r="BH5" t="e">
        <f>+VLOOKUP($N5,P1081_3,MATCH(BH$3,PAAC!#REF!,0),0)</f>
        <v>#NAME?</v>
      </c>
      <c r="BI5" t="e">
        <f>+VLOOKUP($N5,P1081_3,MATCH(BI$3,PAAC!#REF!,0),0)</f>
        <v>#NAME?</v>
      </c>
      <c r="BJ5" t="str">
        <f t="shared" si="17"/>
        <v/>
      </c>
    </row>
    <row r="6" spans="1:62" x14ac:dyDescent="0.3">
      <c r="A6" t="s">
        <v>613</v>
      </c>
      <c r="B6">
        <v>1081</v>
      </c>
      <c r="C6" t="s">
        <v>43</v>
      </c>
      <c r="D6">
        <v>5</v>
      </c>
      <c r="E6" t="s">
        <v>614</v>
      </c>
      <c r="F6" t="s">
        <v>596</v>
      </c>
      <c r="G6" t="s">
        <v>597</v>
      </c>
      <c r="H6" t="s">
        <v>39</v>
      </c>
      <c r="I6" t="s">
        <v>615</v>
      </c>
      <c r="J6" t="s">
        <v>616</v>
      </c>
      <c r="K6" t="s">
        <v>617</v>
      </c>
      <c r="L6" t="s">
        <v>601</v>
      </c>
      <c r="M6" t="s">
        <v>602</v>
      </c>
      <c r="N6" t="str">
        <f t="shared" si="0"/>
        <v>145C_1</v>
      </c>
      <c r="O6" s="10">
        <v>1</v>
      </c>
      <c r="P6" s="13">
        <v>1</v>
      </c>
      <c r="Q6">
        <v>1</v>
      </c>
      <c r="R6" t="s">
        <v>618</v>
      </c>
      <c r="S6" t="s">
        <v>619</v>
      </c>
      <c r="T6" t="s">
        <v>44</v>
      </c>
      <c r="U6" s="13">
        <v>0.22</v>
      </c>
      <c r="V6" s="13">
        <f t="shared" si="1"/>
        <v>0.6</v>
      </c>
      <c r="W6" s="13">
        <f t="shared" si="18"/>
        <v>0.3666666666666667</v>
      </c>
      <c r="X6" s="9">
        <v>43831</v>
      </c>
      <c r="Y6" s="9">
        <v>43981</v>
      </c>
      <c r="Z6" s="10">
        <v>0.08</v>
      </c>
      <c r="AA6" s="13">
        <f t="shared" si="2"/>
        <v>2.9333333333333336E-2</v>
      </c>
      <c r="AB6" s="13">
        <f t="shared" si="3"/>
        <v>0.10266666666666668</v>
      </c>
      <c r="AC6" t="s">
        <v>620</v>
      </c>
      <c r="AD6" s="10">
        <v>0.11</v>
      </c>
      <c r="AE6" s="13">
        <f t="shared" si="4"/>
        <v>4.0333333333333339E-2</v>
      </c>
      <c r="AF6" s="13">
        <f t="shared" si="5"/>
        <v>0.11366666666666669</v>
      </c>
      <c r="AG6" t="s">
        <v>621</v>
      </c>
      <c r="AH6" s="10">
        <v>0.26</v>
      </c>
      <c r="AI6" s="13">
        <f t="shared" si="6"/>
        <v>9.5333333333333339E-2</v>
      </c>
      <c r="AJ6" s="13">
        <f t="shared" si="7"/>
        <v>0.16866666666666669</v>
      </c>
      <c r="AK6" t="s">
        <v>622</v>
      </c>
      <c r="AL6" s="10">
        <v>0.26</v>
      </c>
      <c r="AM6" s="13">
        <f t="shared" si="8"/>
        <v>9.5333333333333339E-2</v>
      </c>
      <c r="AN6" s="13">
        <f t="shared" si="9"/>
        <v>0.25933333333333336</v>
      </c>
      <c r="AO6" t="s">
        <v>623</v>
      </c>
      <c r="AP6" s="10">
        <v>0.28999999999999998</v>
      </c>
      <c r="AQ6" s="13">
        <f t="shared" si="10"/>
        <v>0.10633333333333334</v>
      </c>
      <c r="AR6" s="13">
        <f t="shared" si="11"/>
        <v>0.35566666666666669</v>
      </c>
      <c r="AS6" t="s">
        <v>623</v>
      </c>
      <c r="AT6" t="str">
        <f t="shared" si="12"/>
        <v xml:space="preserve">ENERO: 1. Memorandos de la OTIC para Direccion Contratación Actualizacion y soporte del Licenciamiento de productos Oracle.
2. Contratos (link de secop II)
 FEBRERO: 3 Memorandos de la OTIC para Direccion Contratación de Adquirir productos y servicios Microsoft (oficces 365 y Azure) para dar continuidad a las aplicaciones, sitios y/o páginas web a través del Acuerdo Marco de Precios 
4 Contratos (link de secop II) de oracle
5 Memos para pago  oracle MARZO: 6 Fichas tecnicas de: Optimizador Ancho de banda. 
7 Fichas tecnicas de: Extensión de garantia
8 Fichas tecnicas de: Monitoreo elementos de red
9 Correo para revisión de fichas por parte de contratación: Optimizador Ancho de banda
10 Correo para revisión de fichas por parte de contratación: Extensión de garantia
11 Correo para revisión de fichas por parte de contratación: monitoreo elementos de red
12 Contratos (link de secop II) de Microsoft
 ABRIL: 13 Memos para pago Microsoft
14 Solicitud Cotizaciones de: Optimizador Ancho de banda, 
15 Solicitud Cotizaciones de:  Extensión de garantia
16 Solicitud Cotizaciones de:  monitoreo elementos de red
17 Elaboración estudio de mercado: de Optimizador Ancho de banda
18 Elaboración estudio de mercado:  Extensión de garantia
19 Elaboración estudio de mercado: monitoreo elementos de red
 MAYO: 13 Memos para pago Microsoft
14 Solicitud Cotizaciones de: Optimizador Ancho de banda, 
15 Solicitud Cotizaciones de:  Extensión de garantia
16 Solicitud Cotizaciones de:  monitoreo elementos de red
17 Elaboración estudio de mercado: de Optimizador Ancho de banda
18 Elaboración estudio de mercado:  Extensión de garantia
19 Elaboración estudio de mercado: monitoreo elementos de red
</v>
      </c>
      <c r="AU6" s="14">
        <f t="shared" si="13"/>
        <v>1</v>
      </c>
      <c r="AV6" s="13">
        <f t="shared" si="14"/>
        <v>0.3666666666666667</v>
      </c>
      <c r="AW6" s="13">
        <f t="shared" si="15"/>
        <v>1</v>
      </c>
      <c r="AX6" t="s">
        <v>619</v>
      </c>
      <c r="AY6" t="s">
        <v>624</v>
      </c>
      <c r="AZ6" t="s">
        <v>625</v>
      </c>
      <c r="BA6" t="s">
        <v>626</v>
      </c>
      <c r="BD6" t="str">
        <f t="shared" si="16"/>
        <v>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v>
      </c>
      <c r="BE6" t="e">
        <f>+VLOOKUP($N6,P1081_3,MATCH(BE$3,PAAC!#REF!,0),0)</f>
        <v>#NAME?</v>
      </c>
      <c r="BF6" t="e">
        <f>+VLOOKUP($N6,P1081_3,MATCH(BF$3,PAAC!#REF!,0),0)</f>
        <v>#NAME?</v>
      </c>
      <c r="BG6" t="e">
        <f>+VLOOKUP($N6,P1081_3,MATCH(BG$3,PAAC!#REF!,0),0)</f>
        <v>#NAME?</v>
      </c>
      <c r="BH6" t="e">
        <f>+VLOOKUP($N6,P1081_3,MATCH(BH$3,PAAC!#REF!,0),0)</f>
        <v>#NAME?</v>
      </c>
      <c r="BI6" t="e">
        <f>+VLOOKUP($N6,P1081_3,MATCH(BI$3,PAAC!#REF!,0),0)</f>
        <v>#NAME?</v>
      </c>
      <c r="BJ6" t="str">
        <f t="shared" si="17"/>
        <v/>
      </c>
    </row>
    <row r="7" spans="1:62" x14ac:dyDescent="0.3">
      <c r="A7" t="s">
        <v>613</v>
      </c>
      <c r="B7">
        <v>1081</v>
      </c>
      <c r="C7" t="s">
        <v>43</v>
      </c>
      <c r="D7">
        <v>5</v>
      </c>
      <c r="E7" t="s">
        <v>614</v>
      </c>
      <c r="F7" t="s">
        <v>596</v>
      </c>
      <c r="G7" t="s">
        <v>597</v>
      </c>
      <c r="H7" t="s">
        <v>39</v>
      </c>
      <c r="I7" t="s">
        <v>615</v>
      </c>
      <c r="J7" t="s">
        <v>616</v>
      </c>
      <c r="K7" t="s">
        <v>617</v>
      </c>
      <c r="L7" t="s">
        <v>601</v>
      </c>
      <c r="M7" t="s">
        <v>602</v>
      </c>
      <c r="N7" t="str">
        <f t="shared" si="0"/>
        <v>145C_2</v>
      </c>
      <c r="O7" s="10">
        <v>1</v>
      </c>
      <c r="P7" s="13">
        <v>1</v>
      </c>
      <c r="Q7">
        <v>2</v>
      </c>
      <c r="R7" t="s">
        <v>627</v>
      </c>
      <c r="S7" t="s">
        <v>624</v>
      </c>
      <c r="T7" t="s">
        <v>44</v>
      </c>
      <c r="U7" s="13">
        <v>0</v>
      </c>
      <c r="V7" s="13">
        <f t="shared" si="1"/>
        <v>0.6</v>
      </c>
      <c r="W7" s="13">
        <f t="shared" si="18"/>
        <v>0</v>
      </c>
      <c r="X7" s="9"/>
      <c r="Y7" s="9"/>
      <c r="Z7" s="10">
        <v>0</v>
      </c>
      <c r="AA7" s="13">
        <f t="shared" si="2"/>
        <v>0</v>
      </c>
      <c r="AB7" s="13">
        <f t="shared" si="3"/>
        <v>0.10266666666666668</v>
      </c>
      <c r="AD7" s="10">
        <v>0</v>
      </c>
      <c r="AE7" s="13">
        <f t="shared" si="4"/>
        <v>0</v>
      </c>
      <c r="AF7" s="13">
        <f t="shared" si="5"/>
        <v>0.11366666666666669</v>
      </c>
      <c r="AH7" s="10">
        <v>0</v>
      </c>
      <c r="AI7" s="13">
        <f t="shared" si="6"/>
        <v>0</v>
      </c>
      <c r="AJ7" s="13">
        <f t="shared" si="7"/>
        <v>0.16866666666666669</v>
      </c>
      <c r="AL7" s="10">
        <v>0</v>
      </c>
      <c r="AM7" s="13">
        <f t="shared" si="8"/>
        <v>0</v>
      </c>
      <c r="AN7" s="13">
        <f t="shared" si="9"/>
        <v>0.25933333333333336</v>
      </c>
      <c r="AP7" s="10">
        <v>0</v>
      </c>
      <c r="AQ7" s="13">
        <f t="shared" si="10"/>
        <v>0</v>
      </c>
      <c r="AR7" s="13">
        <f t="shared" si="11"/>
        <v>0.35566666666666669</v>
      </c>
      <c r="AT7" t="str">
        <f t="shared" si="12"/>
        <v xml:space="preserve">ENERO:  FEBRERO:  MARZO:  ABRIL:  MAYO: </v>
      </c>
      <c r="AU7" s="14">
        <f t="shared" si="13"/>
        <v>0</v>
      </c>
      <c r="AV7" s="13">
        <f t="shared" si="14"/>
        <v>0</v>
      </c>
      <c r="AW7" s="13">
        <f t="shared" si="15"/>
        <v>1</v>
      </c>
      <c r="AX7" t="s">
        <v>619</v>
      </c>
      <c r="AY7" t="s">
        <v>624</v>
      </c>
      <c r="AZ7" t="s">
        <v>625</v>
      </c>
      <c r="BA7" t="s">
        <v>626</v>
      </c>
      <c r="BD7" t="str">
        <f t="shared" si="16"/>
        <v>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v>
      </c>
      <c r="BE7" t="e">
        <f>+VLOOKUP($N7,P1081_3,MATCH(BE$3,PAAC!#REF!,0),0)</f>
        <v>#NAME?</v>
      </c>
      <c r="BF7" t="e">
        <f>+VLOOKUP($N7,P1081_3,MATCH(BF$3,PAAC!#REF!,0),0)</f>
        <v>#NAME?</v>
      </c>
      <c r="BG7" t="e">
        <f>+VLOOKUP($N7,P1081_3,MATCH(BG$3,PAAC!#REF!,0),0)</f>
        <v>#NAME?</v>
      </c>
      <c r="BH7" t="e">
        <f>+VLOOKUP($N7,P1081_3,MATCH(BH$3,PAAC!#REF!,0),0)</f>
        <v>#NAME?</v>
      </c>
      <c r="BI7" t="e">
        <f>+VLOOKUP($N7,P1081_3,MATCH(BI$3,PAAC!#REF!,0),0)</f>
        <v>#NAME?</v>
      </c>
      <c r="BJ7" t="str">
        <f t="shared" si="17"/>
        <v/>
      </c>
    </row>
    <row r="8" spans="1:62" x14ac:dyDescent="0.3">
      <c r="A8" t="s">
        <v>613</v>
      </c>
      <c r="B8">
        <v>1081</v>
      </c>
      <c r="C8" t="s">
        <v>43</v>
      </c>
      <c r="D8">
        <v>5</v>
      </c>
      <c r="E8" t="s">
        <v>614</v>
      </c>
      <c r="F8" t="s">
        <v>596</v>
      </c>
      <c r="G8" t="s">
        <v>597</v>
      </c>
      <c r="H8" t="s">
        <v>39</v>
      </c>
      <c r="I8" t="s">
        <v>615</v>
      </c>
      <c r="J8" t="s">
        <v>616</v>
      </c>
      <c r="K8" t="s">
        <v>617</v>
      </c>
      <c r="L8" t="s">
        <v>601</v>
      </c>
      <c r="M8" t="s">
        <v>602</v>
      </c>
      <c r="N8" t="str">
        <f t="shared" si="0"/>
        <v>145C_3</v>
      </c>
      <c r="O8" s="10">
        <v>1</v>
      </c>
      <c r="P8" s="13">
        <v>1</v>
      </c>
      <c r="Q8">
        <v>3</v>
      </c>
      <c r="R8" t="s">
        <v>628</v>
      </c>
      <c r="S8" t="s">
        <v>625</v>
      </c>
      <c r="T8" t="s">
        <v>44</v>
      </c>
      <c r="U8" s="13">
        <v>0.16</v>
      </c>
      <c r="V8" s="13">
        <f t="shared" si="1"/>
        <v>0.6</v>
      </c>
      <c r="W8" s="13">
        <f t="shared" si="18"/>
        <v>0.26666666666666666</v>
      </c>
      <c r="X8" s="9">
        <v>43831</v>
      </c>
      <c r="Y8" s="9">
        <v>43981</v>
      </c>
      <c r="Z8" s="10">
        <v>0</v>
      </c>
      <c r="AA8" s="13">
        <f t="shared" si="2"/>
        <v>0</v>
      </c>
      <c r="AB8" s="13">
        <f t="shared" si="3"/>
        <v>0.10266666666666668</v>
      </c>
      <c r="AD8" s="10">
        <v>0</v>
      </c>
      <c r="AE8" s="13">
        <f t="shared" si="4"/>
        <v>0</v>
      </c>
      <c r="AF8" s="13">
        <f t="shared" si="5"/>
        <v>0.11366666666666669</v>
      </c>
      <c r="AG8">
        <v>0</v>
      </c>
      <c r="AH8" s="10">
        <v>0</v>
      </c>
      <c r="AI8" s="13">
        <f t="shared" si="6"/>
        <v>0</v>
      </c>
      <c r="AJ8" s="13">
        <f t="shared" si="7"/>
        <v>0.16866666666666669</v>
      </c>
      <c r="AK8">
        <v>0</v>
      </c>
      <c r="AL8" s="10">
        <v>0.34</v>
      </c>
      <c r="AM8" s="13">
        <f t="shared" si="8"/>
        <v>9.0666666666666673E-2</v>
      </c>
      <c r="AN8" s="13">
        <f t="shared" si="9"/>
        <v>0.25933333333333336</v>
      </c>
      <c r="AO8" t="s">
        <v>629</v>
      </c>
      <c r="AP8" s="10">
        <v>0.66</v>
      </c>
      <c r="AQ8" s="13">
        <f t="shared" si="10"/>
        <v>0.17600000000000002</v>
      </c>
      <c r="AR8" s="13">
        <f t="shared" si="11"/>
        <v>0.35566666666666669</v>
      </c>
      <c r="AS8" t="s">
        <v>629</v>
      </c>
      <c r="AT8" t="str">
        <f t="shared" si="12"/>
        <v>ENERO:  FEBRERO: 0 MARZO: 0 ABRIL: Fichas tecnicas para migración de IPV4 a IPV6 MAYO: Fichas tecnicas para migración de IPV4 a IPV6</v>
      </c>
      <c r="AU8" s="14">
        <f t="shared" si="13"/>
        <v>1</v>
      </c>
      <c r="AV8" s="13">
        <f t="shared" si="14"/>
        <v>0.26666666666666666</v>
      </c>
      <c r="AW8" s="13">
        <f t="shared" si="15"/>
        <v>1</v>
      </c>
      <c r="AX8" t="s">
        <v>619</v>
      </c>
      <c r="AY8" t="s">
        <v>624</v>
      </c>
      <c r="AZ8" t="s">
        <v>625</v>
      </c>
      <c r="BA8" t="s">
        <v>626</v>
      </c>
      <c r="BD8" t="str">
        <f t="shared" si="16"/>
        <v>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v>
      </c>
      <c r="BE8" t="e">
        <f>+VLOOKUP($N8,P1081_3,MATCH(BE$3,PAAC!#REF!,0),0)</f>
        <v>#NAME?</v>
      </c>
      <c r="BF8" t="e">
        <f>+VLOOKUP($N8,P1081_3,MATCH(BF$3,PAAC!#REF!,0),0)</f>
        <v>#NAME?</v>
      </c>
      <c r="BG8" t="e">
        <f>+VLOOKUP($N8,P1081_3,MATCH(BG$3,PAAC!#REF!,0),0)</f>
        <v>#NAME?</v>
      </c>
      <c r="BH8" t="e">
        <f>+VLOOKUP($N8,P1081_3,MATCH(BH$3,PAAC!#REF!,0),0)</f>
        <v>#NAME?</v>
      </c>
      <c r="BI8" t="e">
        <f>+VLOOKUP($N8,P1081_3,MATCH(BI$3,PAAC!#REF!,0),0)</f>
        <v>#NAME?</v>
      </c>
      <c r="BJ8" t="str">
        <f t="shared" si="17"/>
        <v/>
      </c>
    </row>
    <row r="9" spans="1:62" x14ac:dyDescent="0.3">
      <c r="A9" t="s">
        <v>613</v>
      </c>
      <c r="B9">
        <v>1081</v>
      </c>
      <c r="C9" t="s">
        <v>43</v>
      </c>
      <c r="D9">
        <v>5</v>
      </c>
      <c r="E9" t="s">
        <v>614</v>
      </c>
      <c r="F9" t="s">
        <v>596</v>
      </c>
      <c r="G9" t="s">
        <v>597</v>
      </c>
      <c r="H9" t="s">
        <v>39</v>
      </c>
      <c r="I9" t="s">
        <v>615</v>
      </c>
      <c r="J9" t="s">
        <v>616</v>
      </c>
      <c r="K9" t="s">
        <v>617</v>
      </c>
      <c r="L9" t="s">
        <v>601</v>
      </c>
      <c r="M9" t="s">
        <v>602</v>
      </c>
      <c r="N9" t="str">
        <f t="shared" si="0"/>
        <v>145C_4</v>
      </c>
      <c r="O9" s="10">
        <v>1</v>
      </c>
      <c r="P9" s="13">
        <v>1</v>
      </c>
      <c r="Q9">
        <v>4</v>
      </c>
      <c r="R9" t="s">
        <v>630</v>
      </c>
      <c r="S9" t="s">
        <v>626</v>
      </c>
      <c r="T9" t="s">
        <v>44</v>
      </c>
      <c r="U9" s="13">
        <v>0.22</v>
      </c>
      <c r="V9" s="13">
        <f t="shared" si="1"/>
        <v>0.6</v>
      </c>
      <c r="W9" s="13">
        <f t="shared" si="18"/>
        <v>0.3666666666666667</v>
      </c>
      <c r="X9" s="9">
        <v>43831</v>
      </c>
      <c r="Y9" s="9">
        <v>43981</v>
      </c>
      <c r="Z9" s="10">
        <v>0.2</v>
      </c>
      <c r="AA9" s="13">
        <f t="shared" si="2"/>
        <v>7.3333333333333348E-2</v>
      </c>
      <c r="AB9" s="13">
        <f t="shared" si="3"/>
        <v>0.10266666666666668</v>
      </c>
      <c r="AC9" t="s">
        <v>631</v>
      </c>
      <c r="AD9" s="10">
        <v>0.2</v>
      </c>
      <c r="AE9" s="13">
        <f t="shared" si="4"/>
        <v>7.3333333333333348E-2</v>
      </c>
      <c r="AF9" s="13">
        <f t="shared" si="5"/>
        <v>0.11366666666666669</v>
      </c>
      <c r="AG9" t="s">
        <v>632</v>
      </c>
      <c r="AH9" s="10">
        <v>0.2</v>
      </c>
      <c r="AI9" s="13">
        <f t="shared" si="6"/>
        <v>7.3333333333333348E-2</v>
      </c>
      <c r="AJ9" s="13">
        <f t="shared" si="7"/>
        <v>0.16866666666666669</v>
      </c>
      <c r="AK9" t="s">
        <v>632</v>
      </c>
      <c r="AL9" s="10">
        <v>0.2</v>
      </c>
      <c r="AM9" s="13">
        <f t="shared" si="8"/>
        <v>7.3333333333333348E-2</v>
      </c>
      <c r="AN9" s="13">
        <f t="shared" si="9"/>
        <v>0.25933333333333336</v>
      </c>
      <c r="AO9" t="s">
        <v>632</v>
      </c>
      <c r="AP9" s="10">
        <v>0.2</v>
      </c>
      <c r="AQ9" s="13">
        <f t="shared" si="10"/>
        <v>7.3333333333333348E-2</v>
      </c>
      <c r="AR9" s="13">
        <f t="shared" si="11"/>
        <v>0.35566666666666669</v>
      </c>
      <c r="AS9" t="s">
        <v>632</v>
      </c>
      <c r="AT9" t="str">
        <f t="shared" si="12"/>
        <v xml:space="preserve">ENERO: Memorandos de la OTIC para Direccion Contratación contratación de: - Perno, - Presupuesto Interno, - Cuentas por Cobrar Facturación, - Gestión Contractual, - Limay, SAE y SAI, - Sitios y aplicativos web, - sistemas desarrollados en JEE y Java.  
Contratos (link de secop II)
 FEBRERO: Contratos (link de secop II)
Reporte de  ejecución (link secop II) de: - Perno, - Presupuesto Interno, - Cuentas por Cobrar Facturación, - Gestión Contractual, - Limay, SAE y SAI, - Sitios y aplicativos web, - sistemas desarrollados en JEE y Java. 
Memos para pago  MARZO: Contratos (link de secop II)
Reporte de  ejecución (link secop II) de: - Perno, - Presupuesto Interno, - Cuentas por Cobrar Facturación, - Gestión Contractual, - Limay, SAE y SAI, - Sitios y aplicativos web, - sistemas desarrollados en JEE y Java. 
Memos para pago  ABRIL: Contratos (link de secop II)
Reporte de  ejecución (link secop II) de: - Perno, - Presupuesto Interno, - Cuentas por Cobrar Facturación, - Gestión Contractual, - Limay, SAE y SAI, - Sitios y aplicativos web, - sistemas desarrollados en JEE y Java. 
Memos para pago  MAYO: Contratos (link de secop II)
Reporte de  ejecución (link secop II) de: - Perno, - Presupuesto Interno, - Cuentas por Cobrar Facturación, - Gestión Contractual, - Limay, SAE y SAI, - Sitios y aplicativos web, - sistemas desarrollados en JEE y Java. 
Memos para pago </v>
      </c>
      <c r="AU9" s="14">
        <f t="shared" si="13"/>
        <v>1</v>
      </c>
      <c r="AV9" s="13">
        <f t="shared" si="14"/>
        <v>0.3666666666666667</v>
      </c>
      <c r="AW9" s="13">
        <f t="shared" si="15"/>
        <v>1</v>
      </c>
      <c r="AX9" t="s">
        <v>619</v>
      </c>
      <c r="AY9" t="s">
        <v>624</v>
      </c>
      <c r="AZ9" t="s">
        <v>625</v>
      </c>
      <c r="BA9" t="s">
        <v>626</v>
      </c>
      <c r="BD9" t="str">
        <f t="shared" si="16"/>
        <v>Actualizar y ampliar soluciones tecnológicas en la Secretaría GeneralCumplir el plan de trabajo para la implementación del ERP en la Secretaría GeneralFortalecer la Gobernalidad de TI en la entidadOptimizar  sistemas de información y sitios web con soporte técnico en la Secretaría General</v>
      </c>
      <c r="BE9" t="e">
        <f>+VLOOKUP($N9,P1081_3,MATCH(BE$3,PAAC!#REF!,0),0)</f>
        <v>#NAME?</v>
      </c>
      <c r="BF9" t="e">
        <f>+VLOOKUP($N9,P1081_3,MATCH(BF$3,PAAC!#REF!,0),0)</f>
        <v>#NAME?</v>
      </c>
      <c r="BG9" t="e">
        <f>+VLOOKUP($N9,P1081_3,MATCH(BG$3,PAAC!#REF!,0),0)</f>
        <v>#NAME?</v>
      </c>
      <c r="BH9" t="e">
        <f>+VLOOKUP($N9,P1081_3,MATCH(BH$3,PAAC!#REF!,0),0)</f>
        <v>#NAME?</v>
      </c>
      <c r="BI9" t="e">
        <f>+VLOOKUP($N9,P1081_3,MATCH(BI$3,PAAC!#REF!,0),0)</f>
        <v>#NAME?</v>
      </c>
      <c r="BJ9" t="str">
        <f t="shared" si="17"/>
        <v/>
      </c>
    </row>
    <row r="10" spans="1:62" x14ac:dyDescent="0.3">
      <c r="A10">
        <v>44</v>
      </c>
      <c r="B10">
        <v>1090</v>
      </c>
      <c r="C10" t="s">
        <v>59</v>
      </c>
      <c r="D10">
        <v>2</v>
      </c>
      <c r="E10" t="s">
        <v>633</v>
      </c>
      <c r="F10" t="s">
        <v>596</v>
      </c>
      <c r="G10" t="s">
        <v>634</v>
      </c>
      <c r="H10" t="s">
        <v>56</v>
      </c>
      <c r="I10" t="s">
        <v>635</v>
      </c>
      <c r="J10" t="s">
        <v>636</v>
      </c>
      <c r="K10" t="s">
        <v>637</v>
      </c>
      <c r="L10" t="s">
        <v>638</v>
      </c>
      <c r="M10" t="s">
        <v>639</v>
      </c>
      <c r="N10" t="str">
        <f t="shared" si="0"/>
        <v>44_1</v>
      </c>
      <c r="O10">
        <v>2</v>
      </c>
      <c r="P10" s="13">
        <v>0.11</v>
      </c>
      <c r="Q10">
        <v>1</v>
      </c>
      <c r="R10" t="s">
        <v>640</v>
      </c>
      <c r="S10" t="s">
        <v>641</v>
      </c>
      <c r="T10" t="s">
        <v>58</v>
      </c>
      <c r="U10" s="13">
        <v>0.2</v>
      </c>
      <c r="V10" s="13">
        <f t="shared" si="1"/>
        <v>0.5</v>
      </c>
      <c r="W10" s="13">
        <f t="shared" si="18"/>
        <v>0.4</v>
      </c>
      <c r="X10" s="9">
        <v>43876</v>
      </c>
      <c r="Y10" s="9">
        <v>43981</v>
      </c>
      <c r="Z10" s="10">
        <v>0</v>
      </c>
      <c r="AA10" s="13">
        <f t="shared" si="2"/>
        <v>0</v>
      </c>
      <c r="AB10" s="13">
        <f t="shared" si="3"/>
        <v>0</v>
      </c>
      <c r="AC10" t="s">
        <v>642</v>
      </c>
      <c r="AD10" s="10">
        <v>0</v>
      </c>
      <c r="AE10" s="13">
        <f t="shared" si="4"/>
        <v>0</v>
      </c>
      <c r="AF10" s="13">
        <f t="shared" si="5"/>
        <v>0</v>
      </c>
      <c r="AG10" t="s">
        <v>642</v>
      </c>
      <c r="AH10" s="10">
        <v>0.1</v>
      </c>
      <c r="AI10" s="13">
        <f t="shared" si="6"/>
        <v>4.0000000000000008E-2</v>
      </c>
      <c r="AJ10" s="13">
        <f t="shared" si="7"/>
        <v>0.1</v>
      </c>
      <c r="AK10">
        <v>0</v>
      </c>
      <c r="AL10" s="10">
        <v>0.3</v>
      </c>
      <c r="AM10" s="13">
        <f t="shared" si="8"/>
        <v>0.12</v>
      </c>
      <c r="AN10" s="13">
        <f t="shared" si="9"/>
        <v>0.3</v>
      </c>
      <c r="AO10" t="s">
        <v>643</v>
      </c>
      <c r="AP10" s="10">
        <v>0.6</v>
      </c>
      <c r="AQ10" s="13">
        <f t="shared" si="10"/>
        <v>0.24</v>
      </c>
      <c r="AR10" s="13">
        <f t="shared" si="11"/>
        <v>0.6</v>
      </c>
      <c r="AS10" t="s">
        <v>643</v>
      </c>
      <c r="AT10" t="str">
        <f t="shared" si="12"/>
        <v>ENERO: N/A FEBRERO: N/A MARZO: 0 ABRIL: Concepto Técnico MAYO: Concepto Técnico</v>
      </c>
      <c r="AU10" s="14">
        <f t="shared" si="13"/>
        <v>1</v>
      </c>
      <c r="AV10" s="13">
        <f t="shared" si="14"/>
        <v>0.4</v>
      </c>
      <c r="AW10" s="13">
        <f t="shared" si="15"/>
        <v>1</v>
      </c>
      <c r="AX10" t="s">
        <v>641</v>
      </c>
      <c r="AY10" t="s">
        <v>644</v>
      </c>
      <c r="BD10" t="str">
        <f t="shared" si="16"/>
        <v>Desarrollar intercambios de conocimiento y proyectos, sistematización de buenas prácticas y ejecución de eventos temáticos en torno al desarrollo urbano y la Cooperación internacionalDiseñar acciones coordinadas de cooperación según las prioridades sectoriales y fortalecimiento del sistema de información de la cooperación internacional</v>
      </c>
      <c r="BE10" t="e">
        <f>+VLOOKUP($N10,P1081_3,MATCH(BE$3,PAAC!#REF!,0),0)</f>
        <v>#NAME?</v>
      </c>
      <c r="BF10" t="e">
        <f>+VLOOKUP($N10,P1081_3,MATCH(BF$3,PAAC!#REF!,0),0)</f>
        <v>#NAME?</v>
      </c>
      <c r="BG10" t="e">
        <f>+VLOOKUP($N10,P1081_3,MATCH(BG$3,PAAC!#REF!,0),0)</f>
        <v>#NAME?</v>
      </c>
      <c r="BH10" t="e">
        <f>+VLOOKUP($N10,P1081_3,MATCH(BH$3,PAAC!#REF!,0),0)</f>
        <v>#NAME?</v>
      </c>
      <c r="BI10" t="e">
        <f>+VLOOKUP($N10,P1081_3,MATCH(BI$3,PAAC!#REF!,0),0)</f>
        <v>#NAME?</v>
      </c>
      <c r="BJ10" t="str">
        <f t="shared" si="17"/>
        <v/>
      </c>
    </row>
    <row r="11" spans="1:62" x14ac:dyDescent="0.3">
      <c r="A11">
        <v>44</v>
      </c>
      <c r="B11">
        <v>1090</v>
      </c>
      <c r="C11" t="s">
        <v>59</v>
      </c>
      <c r="D11">
        <v>2</v>
      </c>
      <c r="E11" t="s">
        <v>633</v>
      </c>
      <c r="F11" t="s">
        <v>596</v>
      </c>
      <c r="G11" t="s">
        <v>634</v>
      </c>
      <c r="H11" t="s">
        <v>56</v>
      </c>
      <c r="I11" t="s">
        <v>635</v>
      </c>
      <c r="J11" t="s">
        <v>636</v>
      </c>
      <c r="K11" t="s">
        <v>637</v>
      </c>
      <c r="L11" t="s">
        <v>638</v>
      </c>
      <c r="M11" t="s">
        <v>639</v>
      </c>
      <c r="N11" t="str">
        <f t="shared" si="0"/>
        <v>44_2</v>
      </c>
      <c r="O11">
        <v>2</v>
      </c>
      <c r="P11" s="13">
        <v>0.11</v>
      </c>
      <c r="Q11">
        <v>2</v>
      </c>
      <c r="R11" t="s">
        <v>645</v>
      </c>
      <c r="S11" t="s">
        <v>644</v>
      </c>
      <c r="T11" t="s">
        <v>58</v>
      </c>
      <c r="U11" s="13">
        <v>0.3</v>
      </c>
      <c r="V11" s="13">
        <f t="shared" si="1"/>
        <v>0.5</v>
      </c>
      <c r="W11" s="13">
        <f t="shared" si="18"/>
        <v>0.6</v>
      </c>
      <c r="X11" s="9">
        <v>43876</v>
      </c>
      <c r="Y11" s="9">
        <v>43981</v>
      </c>
      <c r="Z11" s="10">
        <v>0</v>
      </c>
      <c r="AA11" s="13">
        <f t="shared" si="2"/>
        <v>0</v>
      </c>
      <c r="AB11" s="13">
        <f t="shared" si="3"/>
        <v>0</v>
      </c>
      <c r="AC11" t="s">
        <v>642</v>
      </c>
      <c r="AD11" s="10">
        <v>0</v>
      </c>
      <c r="AE11" s="13">
        <f t="shared" si="4"/>
        <v>0</v>
      </c>
      <c r="AF11" s="13">
        <f t="shared" si="5"/>
        <v>0</v>
      </c>
      <c r="AG11" t="s">
        <v>642</v>
      </c>
      <c r="AH11" s="10">
        <v>0.1</v>
      </c>
      <c r="AI11" s="13">
        <f t="shared" si="6"/>
        <v>0.06</v>
      </c>
      <c r="AJ11" s="13">
        <f t="shared" si="7"/>
        <v>0.1</v>
      </c>
      <c r="AK11">
        <v>0</v>
      </c>
      <c r="AL11" s="10">
        <v>0.3</v>
      </c>
      <c r="AM11" s="13">
        <f t="shared" si="8"/>
        <v>0.18</v>
      </c>
      <c r="AN11" s="13">
        <f t="shared" si="9"/>
        <v>0.3</v>
      </c>
      <c r="AO11" t="s">
        <v>643</v>
      </c>
      <c r="AP11" s="10">
        <v>0.6</v>
      </c>
      <c r="AQ11" s="13">
        <f t="shared" si="10"/>
        <v>0.36</v>
      </c>
      <c r="AR11" s="13">
        <f t="shared" si="11"/>
        <v>0.6</v>
      </c>
      <c r="AS11" t="s">
        <v>643</v>
      </c>
      <c r="AT11" t="str">
        <f t="shared" si="12"/>
        <v>ENERO: N/A FEBRERO: N/A MARZO: 0 ABRIL: Concepto Técnico MAYO: Concepto Técnico</v>
      </c>
      <c r="AU11" s="14">
        <f t="shared" si="13"/>
        <v>1</v>
      </c>
      <c r="AV11" s="13">
        <f t="shared" si="14"/>
        <v>0.6</v>
      </c>
      <c r="AW11" s="13">
        <f t="shared" si="15"/>
        <v>1</v>
      </c>
      <c r="AX11" t="s">
        <v>641</v>
      </c>
      <c r="AY11" t="s">
        <v>644</v>
      </c>
      <c r="BD11" t="str">
        <f t="shared" si="16"/>
        <v>Desarrollar intercambios de conocimiento y proyectos, sistematización de buenas prácticas y ejecución de eventos temáticos en torno al desarrollo urbano y la Cooperación internacionalDiseñar acciones coordinadas de cooperación según las prioridades sectoriales y fortalecimiento del sistema de información de la cooperación internacional</v>
      </c>
      <c r="BE11" t="e">
        <f>+VLOOKUP($N11,P1081_3,MATCH(BE$3,PAAC!#REF!,0),0)</f>
        <v>#NAME?</v>
      </c>
      <c r="BF11" t="e">
        <f>+VLOOKUP($N11,P1081_3,MATCH(BF$3,PAAC!#REF!,0),0)</f>
        <v>#NAME?</v>
      </c>
      <c r="BG11" t="e">
        <f>+VLOOKUP($N11,P1081_3,MATCH(BG$3,PAAC!#REF!,0),0)</f>
        <v>#NAME?</v>
      </c>
      <c r="BH11" t="e">
        <f>+VLOOKUP($N11,P1081_3,MATCH(BH$3,PAAC!#REF!,0),0)</f>
        <v>#NAME?</v>
      </c>
      <c r="BI11" t="e">
        <f>+VLOOKUP($N11,P1081_3,MATCH(BI$3,PAAC!#REF!,0),0)</f>
        <v>#NAME?</v>
      </c>
      <c r="BJ11" t="str">
        <f t="shared" si="17"/>
        <v/>
      </c>
    </row>
    <row r="12" spans="1:62" x14ac:dyDescent="0.3">
      <c r="A12">
        <v>45</v>
      </c>
      <c r="B12">
        <v>1090</v>
      </c>
      <c r="C12" t="s">
        <v>59</v>
      </c>
      <c r="D12">
        <v>3</v>
      </c>
      <c r="E12" t="s">
        <v>646</v>
      </c>
      <c r="F12" t="s">
        <v>596</v>
      </c>
      <c r="G12" t="s">
        <v>634</v>
      </c>
      <c r="H12" t="s">
        <v>56</v>
      </c>
      <c r="I12" t="s">
        <v>647</v>
      </c>
      <c r="J12" t="s">
        <v>648</v>
      </c>
      <c r="K12" t="s">
        <v>649</v>
      </c>
      <c r="L12" t="s">
        <v>638</v>
      </c>
      <c r="M12" t="s">
        <v>639</v>
      </c>
      <c r="N12" t="str">
        <f t="shared" si="0"/>
        <v>45_1</v>
      </c>
      <c r="O12">
        <v>3</v>
      </c>
      <c r="P12" s="13">
        <v>0.2</v>
      </c>
      <c r="Q12">
        <v>1</v>
      </c>
      <c r="R12" t="s">
        <v>650</v>
      </c>
      <c r="S12" t="s">
        <v>651</v>
      </c>
      <c r="T12" t="s">
        <v>58</v>
      </c>
      <c r="U12" s="13">
        <v>0.15</v>
      </c>
      <c r="V12" s="13">
        <f t="shared" si="1"/>
        <v>0.5</v>
      </c>
      <c r="W12" s="13">
        <f t="shared" si="18"/>
        <v>0.3</v>
      </c>
      <c r="X12" s="9">
        <v>43891</v>
      </c>
      <c r="Y12" s="9">
        <v>43981</v>
      </c>
      <c r="Z12" s="10">
        <v>0</v>
      </c>
      <c r="AA12" s="13">
        <f t="shared" si="2"/>
        <v>0</v>
      </c>
      <c r="AB12" s="13">
        <f t="shared" si="3"/>
        <v>0</v>
      </c>
      <c r="AC12" t="s">
        <v>642</v>
      </c>
      <c r="AD12" s="10">
        <v>0</v>
      </c>
      <c r="AE12" s="13">
        <f t="shared" si="4"/>
        <v>0</v>
      </c>
      <c r="AF12" s="13">
        <f t="shared" si="5"/>
        <v>0</v>
      </c>
      <c r="AG12" t="s">
        <v>642</v>
      </c>
      <c r="AH12" s="10">
        <v>0.2</v>
      </c>
      <c r="AI12" s="13">
        <f t="shared" si="6"/>
        <v>0.06</v>
      </c>
      <c r="AJ12" s="13">
        <f t="shared" si="7"/>
        <v>0.41</v>
      </c>
      <c r="AK12" t="s">
        <v>643</v>
      </c>
      <c r="AL12" s="10">
        <v>0.3</v>
      </c>
      <c r="AM12" s="13">
        <f t="shared" si="8"/>
        <v>0.09</v>
      </c>
      <c r="AN12" s="13">
        <f t="shared" si="9"/>
        <v>0.09</v>
      </c>
      <c r="AO12" t="s">
        <v>643</v>
      </c>
      <c r="AP12" s="10">
        <v>0.5</v>
      </c>
      <c r="AQ12" s="13">
        <f t="shared" si="10"/>
        <v>0.15</v>
      </c>
      <c r="AR12" s="13">
        <f t="shared" si="11"/>
        <v>0.5</v>
      </c>
      <c r="AS12" t="s">
        <v>643</v>
      </c>
      <c r="AT12" t="str">
        <f t="shared" si="12"/>
        <v>ENERO: N/A FEBRERO: N/A MARZO: Concepto Técnico ABRIL: Concepto Técnico MAYO: Concepto Técnico</v>
      </c>
      <c r="AU12" s="14">
        <f t="shared" si="13"/>
        <v>1</v>
      </c>
      <c r="AV12" s="13">
        <f t="shared" si="14"/>
        <v>0.3</v>
      </c>
      <c r="AW12" s="13">
        <f t="shared" si="15"/>
        <v>1</v>
      </c>
      <c r="AX12" t="s">
        <v>651</v>
      </c>
      <c r="AY12" t="s">
        <v>652</v>
      </c>
      <c r="BD12" t="str">
        <f t="shared" si="16"/>
        <v>Apoyar la implementación de la estrategia de comunicaciones para divulgar a nivel internacional los logros del Distrito CapitalParticipar, tener presencia y/o ser anfitriones en eventos de carácter Internacional.</v>
      </c>
      <c r="BE12" t="e">
        <f>+VLOOKUP($N12,P1081_3,MATCH(BE$3,PAAC!#REF!,0),0)</f>
        <v>#NAME?</v>
      </c>
      <c r="BF12" t="e">
        <f>+VLOOKUP($N12,P1081_3,MATCH(BF$3,PAAC!#REF!,0),0)</f>
        <v>#NAME?</v>
      </c>
      <c r="BG12" t="e">
        <f>+VLOOKUP($N12,P1081_3,MATCH(BG$3,PAAC!#REF!,0),0)</f>
        <v>#NAME?</v>
      </c>
      <c r="BH12" t="e">
        <f>+VLOOKUP($N12,P1081_3,MATCH(BH$3,PAAC!#REF!,0),0)</f>
        <v>#NAME?</v>
      </c>
      <c r="BI12" t="e">
        <f>+VLOOKUP($N12,P1081_3,MATCH(BI$3,PAAC!#REF!,0),0)</f>
        <v>#NAME?</v>
      </c>
      <c r="BJ12" t="str">
        <f t="shared" si="17"/>
        <v/>
      </c>
    </row>
    <row r="13" spans="1:62" x14ac:dyDescent="0.3">
      <c r="A13">
        <v>45</v>
      </c>
      <c r="B13">
        <v>1090</v>
      </c>
      <c r="C13" t="s">
        <v>59</v>
      </c>
      <c r="D13">
        <v>3</v>
      </c>
      <c r="E13" t="s">
        <v>646</v>
      </c>
      <c r="F13" t="s">
        <v>596</v>
      </c>
      <c r="G13" t="s">
        <v>634</v>
      </c>
      <c r="H13" t="s">
        <v>56</v>
      </c>
      <c r="I13" t="s">
        <v>647</v>
      </c>
      <c r="J13" t="s">
        <v>648</v>
      </c>
      <c r="K13" t="s">
        <v>649</v>
      </c>
      <c r="L13" t="s">
        <v>638</v>
      </c>
      <c r="M13" t="s">
        <v>639</v>
      </c>
      <c r="N13" t="str">
        <f t="shared" si="0"/>
        <v>45_2</v>
      </c>
      <c r="O13">
        <v>3</v>
      </c>
      <c r="P13" s="13">
        <v>0.2</v>
      </c>
      <c r="Q13">
        <v>2</v>
      </c>
      <c r="R13" t="s">
        <v>653</v>
      </c>
      <c r="S13" t="s">
        <v>652</v>
      </c>
      <c r="T13" t="s">
        <v>58</v>
      </c>
      <c r="U13" s="13">
        <v>0.35</v>
      </c>
      <c r="V13" s="13">
        <f t="shared" si="1"/>
        <v>0.5</v>
      </c>
      <c r="W13" s="13">
        <f t="shared" si="18"/>
        <v>0.7</v>
      </c>
      <c r="X13" s="9">
        <v>43876</v>
      </c>
      <c r="Y13" s="9">
        <v>43981</v>
      </c>
      <c r="Z13" s="10">
        <v>0</v>
      </c>
      <c r="AA13" s="13">
        <f t="shared" si="2"/>
        <v>0</v>
      </c>
      <c r="AB13" s="13">
        <f t="shared" si="3"/>
        <v>0</v>
      </c>
      <c r="AC13" t="s">
        <v>642</v>
      </c>
      <c r="AD13" s="10">
        <v>0</v>
      </c>
      <c r="AE13" s="13">
        <f t="shared" si="4"/>
        <v>0</v>
      </c>
      <c r="AF13" s="13">
        <f t="shared" si="5"/>
        <v>0</v>
      </c>
      <c r="AG13" t="s">
        <v>642</v>
      </c>
      <c r="AH13" s="10">
        <v>0.5</v>
      </c>
      <c r="AI13" s="13">
        <f t="shared" si="6"/>
        <v>0.35</v>
      </c>
      <c r="AJ13" s="13">
        <f t="shared" si="7"/>
        <v>0.41</v>
      </c>
      <c r="AK13" t="s">
        <v>654</v>
      </c>
      <c r="AL13" s="10">
        <v>0</v>
      </c>
      <c r="AM13" s="13">
        <f t="shared" si="8"/>
        <v>0</v>
      </c>
      <c r="AN13" s="13">
        <f t="shared" si="9"/>
        <v>0.09</v>
      </c>
      <c r="AO13" t="s">
        <v>642</v>
      </c>
      <c r="AP13" s="10">
        <v>0.5</v>
      </c>
      <c r="AQ13" s="13">
        <f t="shared" si="10"/>
        <v>0.35</v>
      </c>
      <c r="AR13" s="13">
        <f t="shared" si="11"/>
        <v>0.5</v>
      </c>
      <c r="AS13" t="s">
        <v>642</v>
      </c>
      <c r="AT13" t="str">
        <f t="shared" si="12"/>
        <v>ENERO: N/A FEBRERO: N/A MARZO: Informe de acción y Concepto técnico ABRIL: N/A MAYO: N/A</v>
      </c>
      <c r="AU13" s="14">
        <f t="shared" si="13"/>
        <v>1</v>
      </c>
      <c r="AV13" s="13">
        <f t="shared" si="14"/>
        <v>0.7</v>
      </c>
      <c r="AW13" s="13">
        <f t="shared" si="15"/>
        <v>1</v>
      </c>
      <c r="AX13" t="s">
        <v>651</v>
      </c>
      <c r="AY13" t="s">
        <v>652</v>
      </c>
      <c r="BD13" t="str">
        <f t="shared" si="16"/>
        <v>Apoyar la implementación de la estrategia de comunicaciones para divulgar a nivel internacional los logros del Distrito CapitalParticipar, tener presencia y/o ser anfitriones en eventos de carácter Internacional.</v>
      </c>
      <c r="BE13" t="e">
        <f>+VLOOKUP($N13,P1081_3,MATCH(BE$3,PAAC!#REF!,0),0)</f>
        <v>#NAME?</v>
      </c>
      <c r="BF13" t="e">
        <f>+VLOOKUP($N13,P1081_3,MATCH(BF$3,PAAC!#REF!,0),0)</f>
        <v>#NAME?</v>
      </c>
      <c r="BG13" t="e">
        <f>+VLOOKUP($N13,P1081_3,MATCH(BG$3,PAAC!#REF!,0),0)</f>
        <v>#NAME?</v>
      </c>
      <c r="BH13" t="e">
        <f>+VLOOKUP($N13,P1081_3,MATCH(BH$3,PAAC!#REF!,0),0)</f>
        <v>#NAME?</v>
      </c>
      <c r="BI13" t="e">
        <f>+VLOOKUP($N13,P1081_3,MATCH(BI$3,PAAC!#REF!,0),0)</f>
        <v>#NAME?</v>
      </c>
      <c r="BJ13" t="str">
        <f t="shared" si="17"/>
        <v/>
      </c>
    </row>
    <row r="14" spans="1:62" x14ac:dyDescent="0.3">
      <c r="A14">
        <v>176</v>
      </c>
      <c r="B14">
        <v>1111</v>
      </c>
      <c r="C14" t="s">
        <v>73</v>
      </c>
      <c r="D14">
        <v>6</v>
      </c>
      <c r="E14" t="s">
        <v>655</v>
      </c>
      <c r="F14" t="s">
        <v>656</v>
      </c>
      <c r="G14" t="s">
        <v>657</v>
      </c>
      <c r="H14" t="s">
        <v>70</v>
      </c>
      <c r="I14" t="s">
        <v>658</v>
      </c>
      <c r="J14" t="s">
        <v>659</v>
      </c>
      <c r="K14" t="s">
        <v>660</v>
      </c>
      <c r="L14" t="s">
        <v>661</v>
      </c>
      <c r="M14" t="s">
        <v>602</v>
      </c>
      <c r="N14" t="str">
        <f t="shared" si="0"/>
        <v>176_1</v>
      </c>
      <c r="O14" s="13">
        <v>1</v>
      </c>
      <c r="P14" s="13">
        <v>1</v>
      </c>
      <c r="Q14">
        <v>1</v>
      </c>
      <c r="R14" t="s">
        <v>662</v>
      </c>
      <c r="S14" t="s">
        <v>663</v>
      </c>
      <c r="T14" t="s">
        <v>74</v>
      </c>
      <c r="U14" s="13">
        <v>1</v>
      </c>
      <c r="V14" s="13">
        <f t="shared" si="1"/>
        <v>1</v>
      </c>
      <c r="W14" s="13">
        <f t="shared" si="18"/>
        <v>1</v>
      </c>
      <c r="X14" s="9">
        <v>43831</v>
      </c>
      <c r="Y14" s="9">
        <v>43981</v>
      </c>
      <c r="Z14" s="10">
        <v>0.2</v>
      </c>
      <c r="AA14" s="13">
        <f t="shared" si="2"/>
        <v>0.2</v>
      </c>
      <c r="AB14" s="13">
        <f t="shared" si="3"/>
        <v>0.2</v>
      </c>
      <c r="AC14" t="s">
        <v>664</v>
      </c>
      <c r="AD14" s="10">
        <v>0.2</v>
      </c>
      <c r="AE14" s="13">
        <f t="shared" si="4"/>
        <v>0.2</v>
      </c>
      <c r="AF14" s="13">
        <f t="shared" si="5"/>
        <v>0.2</v>
      </c>
      <c r="AG14" t="s">
        <v>665</v>
      </c>
      <c r="AH14" s="10">
        <v>0.2</v>
      </c>
      <c r="AI14" s="13">
        <f t="shared" si="6"/>
        <v>0.2</v>
      </c>
      <c r="AJ14" s="13">
        <f t="shared" si="7"/>
        <v>0.2</v>
      </c>
      <c r="AK14" t="s">
        <v>666</v>
      </c>
      <c r="AL14" s="10">
        <v>0.2</v>
      </c>
      <c r="AM14" s="13">
        <f t="shared" si="8"/>
        <v>0.2</v>
      </c>
      <c r="AN14" s="13">
        <f t="shared" si="9"/>
        <v>0.2</v>
      </c>
      <c r="AO14" t="s">
        <v>667</v>
      </c>
      <c r="AP14" s="10">
        <v>0.2</v>
      </c>
      <c r="AQ14" s="13">
        <f t="shared" si="10"/>
        <v>0.2</v>
      </c>
      <c r="AR14" s="13">
        <f t="shared" si="11"/>
        <v>0.2</v>
      </c>
      <c r="AS14" t="s">
        <v>667</v>
      </c>
      <c r="AT14" t="str">
        <f t="shared" si="12"/>
        <v>ENERO: Programa de Desarrollo y Servicios TIC: Informe mensual  de avance de procesos de formación
Sostenibilidad wifi: Informe consolidado de supervisión a 31 de enero de 2020
Sostenibilidad Laboratorios: Informe monitoreo y seguimiento a la sostenibilidad de  los laboratorios.
Gestión Estrategía Implementación ERP: Plan de trabajo - Acompalamiento de articulación con las entidades del Distrito para integrarlas al ERP BogData-SAP de la SDH FEBRERO: Programa de Desarrollo y Servicios TIC: Informe mensual  de avance de procesos de formación
Sostenibilidad wifi: Adelantar aceptación de adición y prorroga del Convenio 413000-643-2019.
Sostenibilidad Laboratorios: Informe monitoreo y seguimiento a la sostenibilidad de  los laboratorios.
Gestión Estrategía Implementación ERP: Informe mensual de Acompañamiento de articulación con las entidades del Distrito. MARZO: Programa de Desarrollo y Servicios TIC: Informe mensual  de avance de procesos de formación
Sostenibilidad wifi: Informe trimestral de ejecución.
Sostenibilidad Laboratorios: Informe monitoreo y seguimiento a la sostenibilidad de  los laboratorios.
Gestión Estrategía Implementación ERP: Informe mensual de Acompañamiento de articulación con las entidades del Distrito. ABRIL: Programa de Desarrollo y Servicios TIC: Informe mensual  de avance de procesos de formación
Sostenibilidad wifi: Elaboración terminos de referencia para la contratación de sostenibilidad Zonas WIFI.
Sostenibilidad Laboratorios: Informe monitoreo y seguimiento a la sostenibilidad de  los laboratorios.
Gestión Estrategía Implementación ERP: Informe mensual de Acompañamiento de articulación con las entidades del Distrito. MAYO: Programa de Desarrollo y Servicios TIC: Informe mensual  de avance de procesos de formación
Sostenibilidad wifi: Elaboración terminos de referencia para la contratación de sostenibilidad Zonas WIFI.
Sostenibilidad Laboratorios: Informe monitoreo y seguimiento a la sostenibilidad de  los laboratorios.
Gestión Estrategía Implementación ERP: Informe mensual de Acompañamiento de articulación con las entidades del Distrito.</v>
      </c>
      <c r="AU14" s="14">
        <f t="shared" si="13"/>
        <v>1</v>
      </c>
      <c r="AV14" s="13">
        <f t="shared" si="14"/>
        <v>1</v>
      </c>
      <c r="AW14" s="13">
        <f t="shared" si="15"/>
        <v>1</v>
      </c>
      <c r="AX14" t="s">
        <v>663</v>
      </c>
      <c r="BD14" t="str">
        <f t="shared" si="16"/>
        <v>Monitorear y evaluar la estrategia de promocion y desarrollo de servicios tic</v>
      </c>
      <c r="BE14" t="e">
        <f>+VLOOKUP($N14,P1081_3,MATCH(BE$3,PAAC!#REF!,0),0)</f>
        <v>#NAME?</v>
      </c>
      <c r="BF14" t="e">
        <f>+VLOOKUP($N14,P1081_3,MATCH(BF$3,PAAC!#REF!,0),0)</f>
        <v>#NAME?</v>
      </c>
      <c r="BG14" t="e">
        <f>+VLOOKUP($N14,P1081_3,MATCH(BG$3,PAAC!#REF!,0),0)</f>
        <v>#NAME?</v>
      </c>
      <c r="BH14" t="e">
        <f>+VLOOKUP($N14,P1081_3,MATCH(BH$3,PAAC!#REF!,0),0)</f>
        <v>#NAME?</v>
      </c>
      <c r="BI14" t="e">
        <f>+VLOOKUP($N14,P1081_3,MATCH(BI$3,PAAC!#REF!,0),0)</f>
        <v>#NAME?</v>
      </c>
      <c r="BJ14" t="str">
        <f t="shared" si="17"/>
        <v/>
      </c>
    </row>
    <row r="15" spans="1:62" x14ac:dyDescent="0.3">
      <c r="A15">
        <v>11</v>
      </c>
      <c r="B15">
        <v>1125</v>
      </c>
      <c r="C15" t="s">
        <v>86</v>
      </c>
      <c r="D15">
        <v>14</v>
      </c>
      <c r="E15" t="s">
        <v>668</v>
      </c>
      <c r="F15" t="s">
        <v>596</v>
      </c>
      <c r="G15" t="s">
        <v>669</v>
      </c>
      <c r="H15" t="s">
        <v>93</v>
      </c>
      <c r="I15" t="s">
        <v>670</v>
      </c>
      <c r="J15" t="s">
        <v>671</v>
      </c>
      <c r="K15" t="s">
        <v>672</v>
      </c>
      <c r="L15" t="s">
        <v>661</v>
      </c>
      <c r="M15" t="s">
        <v>602</v>
      </c>
      <c r="N15" t="str">
        <f t="shared" si="0"/>
        <v>11_1</v>
      </c>
      <c r="O15" s="13">
        <v>1</v>
      </c>
      <c r="P15" s="13">
        <v>1</v>
      </c>
      <c r="Q15">
        <v>1</v>
      </c>
      <c r="R15" t="s">
        <v>673</v>
      </c>
      <c r="S15" t="s">
        <v>674</v>
      </c>
      <c r="T15" t="s">
        <v>675</v>
      </c>
      <c r="U15" s="13">
        <v>1.3640336205767224E-2</v>
      </c>
      <c r="V15" s="13">
        <f t="shared" si="1"/>
        <v>1.3640336205767224E-2</v>
      </c>
      <c r="W15" s="13">
        <f t="shared" ref="W15:W45" si="19">+IFERROR(U15/V15,"N/A")</f>
        <v>1</v>
      </c>
      <c r="X15" s="9">
        <v>43831</v>
      </c>
      <c r="Y15" s="9">
        <v>43982</v>
      </c>
      <c r="Z15" s="10">
        <v>0.03</v>
      </c>
      <c r="AA15" s="13">
        <f t="shared" si="2"/>
        <v>0.03</v>
      </c>
      <c r="AB15" s="13">
        <f t="shared" si="3"/>
        <v>0.03</v>
      </c>
      <c r="AC15" t="s">
        <v>676</v>
      </c>
      <c r="AD15" s="10">
        <v>0.05</v>
      </c>
      <c r="AE15" s="13">
        <f t="shared" si="4"/>
        <v>0.05</v>
      </c>
      <c r="AF15" s="13">
        <f t="shared" si="5"/>
        <v>0.05</v>
      </c>
      <c r="AG15" t="s">
        <v>677</v>
      </c>
      <c r="AH15" s="10">
        <v>0.12</v>
      </c>
      <c r="AI15" s="13">
        <f t="shared" si="6"/>
        <v>0.12</v>
      </c>
      <c r="AJ15" s="13">
        <f t="shared" si="7"/>
        <v>0.12</v>
      </c>
      <c r="AK15" t="s">
        <v>677</v>
      </c>
      <c r="AL15" s="10">
        <v>0.3</v>
      </c>
      <c r="AM15" s="13">
        <f t="shared" si="8"/>
        <v>0.3</v>
      </c>
      <c r="AN15" s="13">
        <f t="shared" si="9"/>
        <v>0.3</v>
      </c>
      <c r="AO15" t="s">
        <v>677</v>
      </c>
      <c r="AP15" s="10">
        <v>0.5</v>
      </c>
      <c r="AQ15" s="13">
        <f t="shared" si="10"/>
        <v>0.5</v>
      </c>
      <c r="AR15" s="13">
        <f t="shared" si="11"/>
        <v>0.5</v>
      </c>
      <c r="AS15" t="s">
        <v>677</v>
      </c>
      <c r="AT15" t="str">
        <f t="shared" si="12"/>
        <v>ENERO: Gestión: Registro de Asistencia, Evidencia de Reunión y Matriz Planeación FEBRERO: Gestión: Registro de Asistencia, Evidencia de Reunión, Avance del Informe de diagnóstico del estado de la gestión de los documentos electrónicos en las entidades de Distrito, Avance del Informe de formulación proyecto de la Red Distrital de Archivos Públicos Abiertos y Avance del Informe de Laboratorio SGDEA (PIIAS) II. MARZO: Gestión: Registro de Asistencia, Evidencia de Reunión, Avance del Informe de diagnóstico del estado de la gestión de los documentos electrónicos en las entidades de Distrito, Avance del Informe de formulación proyecto de la Red Distrital de Archivos Públicos Abiertos y Avance del Informe de Laboratorio SGDEA (PIIAS) II. ABRIL: Gestión: Registro de Asistencia, Evidencia de Reunión, Avance del Informe de diagnóstico del estado de la gestión de los documentos electrónicos en las entidades de Distrito, Avance del Informe de formulación proyecto de la Red Distrital de Archivos Públicos Abiertos y Avance del Informe de Laboratorio SGDEA (PIIAS) II. MAYO: Gestión: Registro de Asistencia, Evidencia de Reunión, Avance del Informe de diagnóstico del estado de la gestión de los documentos electrónicos en las entidades de Distrito, Avance del Informe de formulación proyecto de la Red Distrital de Archivos Públicos Abiertos y Avance del Informe de Laboratorio SGDEA (PIIAS) II.</v>
      </c>
      <c r="AU15" s="14">
        <f t="shared" si="13"/>
        <v>1</v>
      </c>
      <c r="AV15" s="13">
        <f t="shared" si="14"/>
        <v>1</v>
      </c>
      <c r="AW15" s="13">
        <f t="shared" si="15"/>
        <v>1</v>
      </c>
      <c r="AX15" t="s">
        <v>674</v>
      </c>
      <c r="AY15" t="s">
        <v>678</v>
      </c>
      <c r="BD15" t="str">
        <f t="shared" si="16"/>
        <v>Diseñar e implementar los lineamientos para la administración de documentos electrónicos de archivo en las entidades del Distrito CapitalAcopiar, catalogar y/o describir unidades documentales de interés patrimonial para la ciudad.</v>
      </c>
      <c r="BE15" t="e">
        <f>+VLOOKUP($N15,P1081_3,MATCH(BE$3,PAAC!#REF!,0),0)</f>
        <v>#NAME?</v>
      </c>
      <c r="BF15" t="e">
        <f>+VLOOKUP($N15,P1081_3,MATCH(BF$3,PAAC!#REF!,0),0)</f>
        <v>#NAME?</v>
      </c>
      <c r="BG15" t="e">
        <f>+VLOOKUP($N15,P1081_3,MATCH(BG$3,PAAC!#REF!,0),0)</f>
        <v>#NAME?</v>
      </c>
      <c r="BH15" t="e">
        <f>+VLOOKUP($N15,P1081_3,MATCH(BH$3,PAAC!#REF!,0),0)</f>
        <v>#NAME?</v>
      </c>
      <c r="BI15" t="e">
        <f>+VLOOKUP($N15,P1081_3,MATCH(BI$3,PAAC!#REF!,0),0)</f>
        <v>#NAME?</v>
      </c>
      <c r="BJ15" t="str">
        <f t="shared" si="17"/>
        <v/>
      </c>
    </row>
    <row r="16" spans="1:62" x14ac:dyDescent="0.3">
      <c r="A16">
        <v>18</v>
      </c>
      <c r="B16">
        <v>1125</v>
      </c>
      <c r="C16" t="s">
        <v>86</v>
      </c>
      <c r="D16">
        <v>17</v>
      </c>
      <c r="E16" t="s">
        <v>679</v>
      </c>
      <c r="F16" t="s">
        <v>596</v>
      </c>
      <c r="G16" t="s">
        <v>669</v>
      </c>
      <c r="H16" t="s">
        <v>93</v>
      </c>
      <c r="I16" t="s">
        <v>680</v>
      </c>
      <c r="J16" t="s">
        <v>681</v>
      </c>
      <c r="K16" t="s">
        <v>682</v>
      </c>
      <c r="L16" t="s">
        <v>638</v>
      </c>
      <c r="M16" t="s">
        <v>639</v>
      </c>
      <c r="N16" t="str">
        <f t="shared" si="0"/>
        <v>18_1</v>
      </c>
      <c r="O16">
        <v>10000</v>
      </c>
      <c r="P16" s="13">
        <v>1</v>
      </c>
      <c r="Q16">
        <v>1</v>
      </c>
      <c r="R16" t="s">
        <v>683</v>
      </c>
      <c r="S16" t="s">
        <v>678</v>
      </c>
      <c r="T16" t="s">
        <v>675</v>
      </c>
      <c r="U16" s="13">
        <v>6.8630733504652222E-2</v>
      </c>
      <c r="V16" s="13">
        <f t="shared" si="1"/>
        <v>0.17231384931133267</v>
      </c>
      <c r="W16" s="13">
        <f t="shared" si="19"/>
        <v>0.39828913217910766</v>
      </c>
      <c r="X16" s="9">
        <v>43831</v>
      </c>
      <c r="Y16" s="9">
        <v>43982</v>
      </c>
      <c r="Z16" s="10">
        <v>0.1</v>
      </c>
      <c r="AA16" s="13">
        <f t="shared" si="2"/>
        <v>3.9828913217910766E-2</v>
      </c>
      <c r="AB16" s="13">
        <f t="shared" si="3"/>
        <v>8.6861225459506211E-2</v>
      </c>
      <c r="AC16" t="s">
        <v>684</v>
      </c>
      <c r="AD16" s="10">
        <v>0.15</v>
      </c>
      <c r="AE16" s="13">
        <f t="shared" si="4"/>
        <v>5.9743369826866149E-2</v>
      </c>
      <c r="AF16" s="13">
        <f t="shared" si="5"/>
        <v>0.13879230961178987</v>
      </c>
      <c r="AG16" t="s">
        <v>684</v>
      </c>
      <c r="AH16" s="10">
        <v>0.25</v>
      </c>
      <c r="AI16" s="13">
        <f t="shared" si="6"/>
        <v>9.9572283044776916E-2</v>
      </c>
      <c r="AJ16" s="13">
        <f t="shared" si="7"/>
        <v>0.22419715771810575</v>
      </c>
      <c r="AK16" t="s">
        <v>685</v>
      </c>
      <c r="AL16" s="10">
        <v>0.25</v>
      </c>
      <c r="AM16" s="13">
        <f t="shared" si="8"/>
        <v>9.9572283044776916E-2</v>
      </c>
      <c r="AN16" s="13">
        <f t="shared" si="9"/>
        <v>0.2838286711562627</v>
      </c>
      <c r="AO16" t="s">
        <v>686</v>
      </c>
      <c r="AP16" s="10">
        <v>0.25</v>
      </c>
      <c r="AQ16" s="13">
        <f t="shared" si="10"/>
        <v>9.9572283044776916E-2</v>
      </c>
      <c r="AR16" s="13">
        <f t="shared" si="11"/>
        <v>0.26632063605433531</v>
      </c>
      <c r="AS16" t="s">
        <v>686</v>
      </c>
      <c r="AT16" t="str">
        <f t="shared" si="12"/>
        <v>ENERO: Producto: Memorando Electrónico enviado a la Sala de Investigadores formalizando el número de unidades puestas al servicio de la ciudadanía. FEBRERO: Producto: Memorando Electrónico enviado a la Sala de Investigadores formalizando el número de unidades puestas al servicio de la ciudadanía. MARZO: Producto: Memorando Electrónico enviado a la Sala de Investigadores formalizando el número de unidades puestas al servicio de la ciudadanía. Gestión: Acta de recibo de ingreso documentales o transferencia. ABRIL: Producto: Memorando Electrónico enviado a la Sala de Investigadores formalizando el número de unidades puestas al servicio de la ciudadanía. Gestión: Avance informe para fortalecer la Guía General del Archivo de Bogotá y Guías actualizadas y estandarizadas de fondos y colecciones. MAYO: Producto: Memorando Electrónico enviado a la Sala de Investigadores formalizando el número de unidades puestas al servicio de la ciudadanía. Gestión: Avance informe para fortalecer la Guía General del Archivo de Bogotá y Guías actualizadas y estandarizadas de fondos y colecciones.</v>
      </c>
      <c r="AU16" s="14">
        <f t="shared" si="13"/>
        <v>1</v>
      </c>
      <c r="AV16" s="13">
        <f t="shared" si="14"/>
        <v>0.39828913217910766</v>
      </c>
      <c r="AW16" s="13">
        <f t="shared" si="15"/>
        <v>1</v>
      </c>
      <c r="AX16" t="s">
        <v>678</v>
      </c>
      <c r="AY16" t="s">
        <v>687</v>
      </c>
      <c r="AZ16" t="s">
        <v>688</v>
      </c>
      <c r="BA16" t="s">
        <v>689</v>
      </c>
      <c r="BB16" t="s">
        <v>690</v>
      </c>
      <c r="BC16" t="s">
        <v>691</v>
      </c>
      <c r="BD16" t="str">
        <f t="shared" si="16"/>
        <v>Acopiar,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histórica de la ciudad.Realizar acciones de divulgación y pedagogía, para la apropiación social de la memoria histórica de la ciudad y la función archivística.Realizar actividades de implementación del sistema integrado de conservación para el archivo de bogotá y las entidades distritales.Soporte a la adminsitración del sistema de archivo SIAB.</v>
      </c>
      <c r="BE16" t="e">
        <f>+VLOOKUP($N16,P1081_3,MATCH(BE$3,PAAC!#REF!,0),0)</f>
        <v>#NAME?</v>
      </c>
      <c r="BF16" t="e">
        <f>+VLOOKUP($N16,P1081_3,MATCH(BF$3,PAAC!#REF!,0),0)</f>
        <v>#NAME?</v>
      </c>
      <c r="BG16" t="e">
        <f>+VLOOKUP($N16,P1081_3,MATCH(BG$3,PAAC!#REF!,0),0)</f>
        <v>#NAME?</v>
      </c>
      <c r="BH16" t="e">
        <f>+VLOOKUP($N16,P1081_3,MATCH(BH$3,PAAC!#REF!,0),0)</f>
        <v>#NAME?</v>
      </c>
      <c r="BI16" t="e">
        <f>+VLOOKUP($N16,P1081_3,MATCH(BI$3,PAAC!#REF!,0),0)</f>
        <v>#NAME?</v>
      </c>
      <c r="BJ16" t="str">
        <f t="shared" si="17"/>
        <v/>
      </c>
    </row>
    <row r="17" spans="1:62" x14ac:dyDescent="0.3">
      <c r="A17">
        <v>18</v>
      </c>
      <c r="B17">
        <v>1125</v>
      </c>
      <c r="C17" t="s">
        <v>86</v>
      </c>
      <c r="D17">
        <v>17</v>
      </c>
      <c r="E17" t="s">
        <v>679</v>
      </c>
      <c r="F17" t="s">
        <v>596</v>
      </c>
      <c r="G17" t="s">
        <v>669</v>
      </c>
      <c r="H17" t="s">
        <v>93</v>
      </c>
      <c r="I17" t="s">
        <v>680</v>
      </c>
      <c r="J17" t="s">
        <v>681</v>
      </c>
      <c r="K17" t="s">
        <v>682</v>
      </c>
      <c r="L17" t="s">
        <v>638</v>
      </c>
      <c r="M17" t="s">
        <v>639</v>
      </c>
      <c r="N17" t="str">
        <f t="shared" si="0"/>
        <v>18_2</v>
      </c>
      <c r="O17">
        <v>10000</v>
      </c>
      <c r="P17" s="13">
        <v>1</v>
      </c>
      <c r="Q17">
        <v>2</v>
      </c>
      <c r="R17" t="s">
        <v>692</v>
      </c>
      <c r="S17" t="s">
        <v>687</v>
      </c>
      <c r="T17" t="s">
        <v>675</v>
      </c>
      <c r="U17" s="13">
        <v>6.0337538445820744E-2</v>
      </c>
      <c r="V17" s="13">
        <f t="shared" si="1"/>
        <v>0.17231384931133267</v>
      </c>
      <c r="W17" s="13">
        <f t="shared" si="19"/>
        <v>0.35016070203854754</v>
      </c>
      <c r="X17" s="9">
        <v>43831</v>
      </c>
      <c r="Y17" s="9">
        <v>43982</v>
      </c>
      <c r="Z17" s="10">
        <v>0.05</v>
      </c>
      <c r="AA17" s="13">
        <f t="shared" si="2"/>
        <v>1.7508035101927378E-2</v>
      </c>
      <c r="AB17" s="13">
        <f t="shared" si="3"/>
        <v>8.6861225459506211E-2</v>
      </c>
      <c r="AC17" t="s">
        <v>693</v>
      </c>
      <c r="AD17" s="10">
        <v>0.1</v>
      </c>
      <c r="AE17" s="13">
        <f t="shared" si="4"/>
        <v>3.5016070203854756E-2</v>
      </c>
      <c r="AF17" s="13">
        <f t="shared" si="5"/>
        <v>0.13879230961178987</v>
      </c>
      <c r="AG17" t="s">
        <v>694</v>
      </c>
      <c r="AH17" s="10">
        <v>0.2</v>
      </c>
      <c r="AI17" s="13">
        <f t="shared" si="6"/>
        <v>7.0032140407709512E-2</v>
      </c>
      <c r="AJ17" s="13">
        <f t="shared" si="7"/>
        <v>0.22419715771810575</v>
      </c>
      <c r="AK17" t="s">
        <v>695</v>
      </c>
      <c r="AL17" s="10">
        <v>0.35</v>
      </c>
      <c r="AM17" s="13">
        <f t="shared" si="8"/>
        <v>0.12255624571349163</v>
      </c>
      <c r="AN17" s="13">
        <f t="shared" si="9"/>
        <v>0.2838286711562627</v>
      </c>
      <c r="AO17" t="s">
        <v>696</v>
      </c>
      <c r="AP17" s="10">
        <v>0.3</v>
      </c>
      <c r="AQ17" s="13">
        <f t="shared" si="10"/>
        <v>0.10504821061156426</v>
      </c>
      <c r="AR17" s="13">
        <f t="shared" si="11"/>
        <v>0.26632063605433531</v>
      </c>
      <c r="AS17" t="s">
        <v>696</v>
      </c>
      <c r="AT17" t="str">
        <f t="shared" si="12"/>
        <v>ENERO: Reporte de Conciliación 516, SGC y Predis e Informe de ejecución Plan Anual de Adquisiciones. FEBRERO: Reporte de Conciliación 516, SGC y Predis, Informe de ejecución Plan Anual de Adquisiciones e Informe de ejecución presupuestal y metas. MARZO: Reporte de Conciliación 516, SGC y Predis, Informe de ejecución Plan Anual de Adquisiciones, Informe de ejecución presupuestal y metas y Sistema de Seguimiento a Planes de Acción. ABRIL: Reporte de Conciliación 516, SGC y Predis, Informe de ejecución Plan Anual de Adquisiciones, Informe de ejecución presupuestal y metas, Sistema de Seguimiento a Planes de Acción e Informe de cumplimiento del Sistema de Gestión de Calidad. MAYO: Reporte de Conciliación 516, SGC y Predis, Informe de ejecución Plan Anual de Adquisiciones, Informe de ejecución presupuestal y metas, Sistema de Seguimiento a Planes de Acción e Informe de cumplimiento del Sistema de Gestión de Calidad.</v>
      </c>
      <c r="AU17" s="14">
        <f t="shared" si="13"/>
        <v>1</v>
      </c>
      <c r="AV17" s="13">
        <f t="shared" si="14"/>
        <v>0.35016070203854754</v>
      </c>
      <c r="AW17" s="13">
        <f t="shared" si="15"/>
        <v>1</v>
      </c>
      <c r="AX17" t="s">
        <v>678</v>
      </c>
      <c r="AY17" t="s">
        <v>687</v>
      </c>
      <c r="AZ17" t="s">
        <v>688</v>
      </c>
      <c r="BA17" t="s">
        <v>689</v>
      </c>
      <c r="BB17" t="s">
        <v>690</v>
      </c>
      <c r="BC17" t="s">
        <v>691</v>
      </c>
      <c r="BD17" t="str">
        <f t="shared" si="16"/>
        <v>Acopiar,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histórica de la ciudad.Realizar acciones de divulgación y pedagogía, para la apropiación social de la memoria histórica de la ciudad y la función archivística.Realizar actividades de implementación del sistema integrado de conservación para el archivo de bogotá y las entidades distritales.Soporte a la adminsitración del sistema de archivo SIAB.</v>
      </c>
      <c r="BE17" t="e">
        <f>+VLOOKUP($N17,P1081_3,MATCH(BE$3,PAAC!#REF!,0),0)</f>
        <v>#NAME?</v>
      </c>
      <c r="BF17" t="e">
        <f>+VLOOKUP($N17,P1081_3,MATCH(BF$3,PAAC!#REF!,0),0)</f>
        <v>#NAME?</v>
      </c>
      <c r="BG17" t="e">
        <f>+VLOOKUP($N17,P1081_3,MATCH(BG$3,PAAC!#REF!,0),0)</f>
        <v>#NAME?</v>
      </c>
      <c r="BH17" t="e">
        <f>+VLOOKUP($N17,P1081_3,MATCH(BH$3,PAAC!#REF!,0),0)</f>
        <v>#NAME?</v>
      </c>
      <c r="BI17" t="e">
        <f>+VLOOKUP($N17,P1081_3,MATCH(BI$3,PAAC!#REF!,0),0)</f>
        <v>#NAME?</v>
      </c>
      <c r="BJ17" t="str">
        <f t="shared" si="17"/>
        <v/>
      </c>
    </row>
    <row r="18" spans="1:62" x14ac:dyDescent="0.3">
      <c r="A18">
        <v>18</v>
      </c>
      <c r="B18">
        <v>1125</v>
      </c>
      <c r="C18" t="s">
        <v>86</v>
      </c>
      <c r="D18">
        <v>17</v>
      </c>
      <c r="E18" t="s">
        <v>679</v>
      </c>
      <c r="F18" t="s">
        <v>596</v>
      </c>
      <c r="G18" t="s">
        <v>669</v>
      </c>
      <c r="H18" t="s">
        <v>93</v>
      </c>
      <c r="I18" t="s">
        <v>680</v>
      </c>
      <c r="J18" t="s">
        <v>681</v>
      </c>
      <c r="K18" t="s">
        <v>682</v>
      </c>
      <c r="L18" t="s">
        <v>638</v>
      </c>
      <c r="M18" t="s">
        <v>639</v>
      </c>
      <c r="N18" t="str">
        <f t="shared" si="0"/>
        <v>18_3</v>
      </c>
      <c r="O18">
        <v>10000</v>
      </c>
      <c r="P18" s="13">
        <v>1</v>
      </c>
      <c r="Q18">
        <v>3</v>
      </c>
      <c r="R18" t="s">
        <v>697</v>
      </c>
      <c r="S18" t="s">
        <v>688</v>
      </c>
      <c r="T18" t="s">
        <v>675</v>
      </c>
      <c r="U18" s="13">
        <v>9.3777729807756477E-3</v>
      </c>
      <c r="V18" s="13">
        <f t="shared" si="1"/>
        <v>0.17231384931133267</v>
      </c>
      <c r="W18" s="13">
        <f t="shared" si="19"/>
        <v>5.442263067219922E-2</v>
      </c>
      <c r="X18" s="9">
        <v>43831</v>
      </c>
      <c r="Y18" s="9">
        <v>43982</v>
      </c>
      <c r="Z18" s="10">
        <v>0.1</v>
      </c>
      <c r="AA18" s="13">
        <f t="shared" si="2"/>
        <v>5.4422630672199225E-3</v>
      </c>
      <c r="AB18" s="13">
        <f t="shared" si="3"/>
        <v>8.6861225459506211E-2</v>
      </c>
      <c r="AC18" t="s">
        <v>698</v>
      </c>
      <c r="AD18" s="10">
        <v>0.15</v>
      </c>
      <c r="AE18" s="13">
        <f t="shared" si="4"/>
        <v>8.1633946008298833E-3</v>
      </c>
      <c r="AF18" s="13">
        <f t="shared" si="5"/>
        <v>0.13879230961178987</v>
      </c>
      <c r="AG18" t="s">
        <v>698</v>
      </c>
      <c r="AH18" s="10">
        <v>0.15</v>
      </c>
      <c r="AI18" s="13">
        <f t="shared" si="6"/>
        <v>8.1633946008298833E-3</v>
      </c>
      <c r="AJ18" s="13">
        <f t="shared" si="7"/>
        <v>0.22419715771810575</v>
      </c>
      <c r="AK18" t="s">
        <v>698</v>
      </c>
      <c r="AL18" s="10">
        <v>0.3</v>
      </c>
      <c r="AM18" s="13">
        <f t="shared" si="8"/>
        <v>1.6326789201659767E-2</v>
      </c>
      <c r="AN18" s="13">
        <f t="shared" si="9"/>
        <v>0.2838286711562627</v>
      </c>
      <c r="AO18" t="s">
        <v>699</v>
      </c>
      <c r="AP18" s="10">
        <v>0.3</v>
      </c>
      <c r="AQ18" s="13">
        <f t="shared" si="10"/>
        <v>1.6326789201659767E-2</v>
      </c>
      <c r="AR18" s="13">
        <f t="shared" si="11"/>
        <v>0.26632063605433531</v>
      </c>
      <c r="AS18" t="s">
        <v>699</v>
      </c>
      <c r="AT18" t="str">
        <f t="shared" si="12"/>
        <v>ENERO: Pantallazo de la publicación de los diferentes artículos relacionados con la recuperación y apropiación de la memoria histórica de Bogotá. FEBRERO: Pantallazo de la publicación de los diferentes artículos relacionados con la recuperación y apropiación de la memoria histórica de Bogotá. MARZO: Pantallazo de la publicación de los diferentes artículos relacionados con la recuperación y apropiación de la memoria histórica de Bogotá. ABRIL: Pantallazo de la publicación de los diferentes artículos relacionados con la recuperación y apropiación de la memoria histórica de Bogotá y avance del informe sobre la ubicación de fuentes para el incremento de la colección Alcaldes Mayores. MAYO: Pantallazo de la publicación de los diferentes artículos relacionados con la recuperación y apropiación de la memoria histórica de Bogotá y avance del informe sobre la ubicación de fuentes para el incremento de la colección Alcaldes Mayores.</v>
      </c>
      <c r="AU18" s="14">
        <f t="shared" si="13"/>
        <v>1</v>
      </c>
      <c r="AV18" s="13">
        <f t="shared" si="14"/>
        <v>5.442263067219922E-2</v>
      </c>
      <c r="AW18" s="13">
        <f t="shared" si="15"/>
        <v>1</v>
      </c>
      <c r="AX18" t="s">
        <v>678</v>
      </c>
      <c r="AY18" t="s">
        <v>687</v>
      </c>
      <c r="AZ18" t="s">
        <v>688</v>
      </c>
      <c r="BA18" t="s">
        <v>689</v>
      </c>
      <c r="BB18" t="s">
        <v>690</v>
      </c>
      <c r="BC18" t="s">
        <v>691</v>
      </c>
      <c r="BD18" t="str">
        <f t="shared" si="16"/>
        <v>Acopiar,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histórica de la ciudad.Realizar acciones de divulgación y pedagogía, para la apropiación social de la memoria histórica de la ciudad y la función archivística.Realizar actividades de implementación del sistema integrado de conservación para el archivo de bogotá y las entidades distritales.Soporte a la adminsitración del sistema de archivo SIAB.</v>
      </c>
      <c r="BE18" t="e">
        <f>+VLOOKUP($N18,P1081_3,MATCH(BE$3,PAAC!#REF!,0),0)</f>
        <v>#NAME?</v>
      </c>
      <c r="BF18" t="e">
        <f>+VLOOKUP($N18,P1081_3,MATCH(BF$3,PAAC!#REF!,0),0)</f>
        <v>#NAME?</v>
      </c>
      <c r="BG18" t="e">
        <f>+VLOOKUP($N18,P1081_3,MATCH(BG$3,PAAC!#REF!,0),0)</f>
        <v>#NAME?</v>
      </c>
      <c r="BH18" t="e">
        <f>+VLOOKUP($N18,P1081_3,MATCH(BH$3,PAAC!#REF!,0),0)</f>
        <v>#NAME?</v>
      </c>
      <c r="BI18" t="e">
        <f>+VLOOKUP($N18,P1081_3,MATCH(BI$3,PAAC!#REF!,0),0)</f>
        <v>#NAME?</v>
      </c>
      <c r="BJ18" t="str">
        <f t="shared" si="17"/>
        <v/>
      </c>
    </row>
    <row r="19" spans="1:62" x14ac:dyDescent="0.3">
      <c r="A19">
        <v>18</v>
      </c>
      <c r="B19">
        <v>1125</v>
      </c>
      <c r="C19" t="s">
        <v>86</v>
      </c>
      <c r="D19">
        <v>17</v>
      </c>
      <c r="E19" t="s">
        <v>679</v>
      </c>
      <c r="F19" t="s">
        <v>596</v>
      </c>
      <c r="G19" t="s">
        <v>669</v>
      </c>
      <c r="H19" t="s">
        <v>93</v>
      </c>
      <c r="I19" t="s">
        <v>680</v>
      </c>
      <c r="J19" t="s">
        <v>681</v>
      </c>
      <c r="K19" t="s">
        <v>682</v>
      </c>
      <c r="L19" t="s">
        <v>638</v>
      </c>
      <c r="M19" t="s">
        <v>639</v>
      </c>
      <c r="N19" t="str">
        <f t="shared" si="0"/>
        <v>18_4</v>
      </c>
      <c r="O19">
        <v>10000</v>
      </c>
      <c r="P19" s="13">
        <v>1</v>
      </c>
      <c r="Q19">
        <v>4</v>
      </c>
      <c r="R19" t="s">
        <v>700</v>
      </c>
      <c r="S19" t="s">
        <v>689</v>
      </c>
      <c r="T19" t="s">
        <v>675</v>
      </c>
      <c r="U19" s="13">
        <v>1.819610932001671E-2</v>
      </c>
      <c r="V19" s="13">
        <f t="shared" si="1"/>
        <v>0.17231384931133267</v>
      </c>
      <c r="W19" s="13">
        <f t="shared" si="19"/>
        <v>0.10559864684550341</v>
      </c>
      <c r="X19" s="9">
        <v>43831</v>
      </c>
      <c r="Y19" s="9">
        <v>43982</v>
      </c>
      <c r="Z19" s="10">
        <v>0.08</v>
      </c>
      <c r="AA19" s="13">
        <f t="shared" si="2"/>
        <v>8.4478917476402734E-3</v>
      </c>
      <c r="AB19" s="13">
        <f t="shared" si="3"/>
        <v>8.6861225459506211E-2</v>
      </c>
      <c r="AC19" t="s">
        <v>701</v>
      </c>
      <c r="AD19" s="10">
        <v>0.16</v>
      </c>
      <c r="AE19" s="13">
        <f t="shared" si="4"/>
        <v>1.6895783495280547E-2</v>
      </c>
      <c r="AF19" s="13">
        <f t="shared" si="5"/>
        <v>0.13879230961178987</v>
      </c>
      <c r="AG19" t="s">
        <v>702</v>
      </c>
      <c r="AH19" s="10">
        <v>0.26</v>
      </c>
      <c r="AI19" s="13">
        <f t="shared" si="6"/>
        <v>2.7455648179830885E-2</v>
      </c>
      <c r="AJ19" s="13">
        <f t="shared" si="7"/>
        <v>0.22419715771810575</v>
      </c>
      <c r="AK19" t="s">
        <v>703</v>
      </c>
      <c r="AL19" s="10">
        <v>0.25</v>
      </c>
      <c r="AM19" s="13">
        <f t="shared" si="8"/>
        <v>2.6399661711375852E-2</v>
      </c>
      <c r="AN19" s="13">
        <f t="shared" si="9"/>
        <v>0.2838286711562627</v>
      </c>
      <c r="AO19" t="s">
        <v>702</v>
      </c>
      <c r="AP19" s="10">
        <v>0.25</v>
      </c>
      <c r="AQ19" s="13">
        <f t="shared" si="10"/>
        <v>2.6399661711375852E-2</v>
      </c>
      <c r="AR19" s="13">
        <f t="shared" si="11"/>
        <v>0.26632063605433531</v>
      </c>
      <c r="AS19" t="s">
        <v>702</v>
      </c>
      <c r="AT19" t="str">
        <f t="shared" si="12"/>
        <v xml:space="preserve">ENERO: Pantallazo de la publicación realizadas en el micrositio web del Archivo de Bogotá y Base de excel relacionando publicaciones en Twitter y Facebook. FEBRERO: Pantallazo de la publicación realizadas en el micrositio web del Archivo de Bogotá, Base de excel relacionando publicaciones en Twitter y Facebook, Pantallazo con las publicaciones realizadas en Instagram y registro de asistencia de la visita guiada realizada.  MARZO: Pantallazo de la publicación realizadas en el micrositio web del Archivo de Bogotá, Base de excel relacionando publicaciones en Twitter y Facebook, Pantallazo con las publicaciones realizadas en Instagram, Fotografía del evento realizado con sus respectivas piezas comunicacionales y registro de asistencia de la visita guiada realizada  ABRIL: Pantallazo de la publicación realizadas en el micrositio web del Archivo de Bogotá, Base de excel relacionando publicaciones en Twitter y Facebook, Pantallazo con las publicaciones realizadas en Instagram y registro de asistencia de la visita guiada realizada.  MAYO: Pantallazo de la publicación realizadas en el micrositio web del Archivo de Bogotá, Base de excel relacionando publicaciones en Twitter y Facebook, Pantallazo con las publicaciones realizadas en Instagram y registro de asistencia de la visita guiada realizada. </v>
      </c>
      <c r="AU19" s="14">
        <f t="shared" si="13"/>
        <v>1</v>
      </c>
      <c r="AV19" s="13">
        <f t="shared" si="14"/>
        <v>0.10559864684550341</v>
      </c>
      <c r="AW19" s="13">
        <f t="shared" si="15"/>
        <v>1</v>
      </c>
      <c r="AX19" t="s">
        <v>678</v>
      </c>
      <c r="AY19" t="s">
        <v>687</v>
      </c>
      <c r="AZ19" t="s">
        <v>688</v>
      </c>
      <c r="BA19" t="s">
        <v>689</v>
      </c>
      <c r="BB19" t="s">
        <v>690</v>
      </c>
      <c r="BC19" t="s">
        <v>691</v>
      </c>
      <c r="BD19" t="str">
        <f t="shared" si="16"/>
        <v>Acopiar,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histórica de la ciudad.Realizar acciones de divulgación y pedagogía, para la apropiación social de la memoria histórica de la ciudad y la función archivística.Realizar actividades de implementación del sistema integrado de conservación para el archivo de bogotá y las entidades distritales.Soporte a la adminsitración del sistema de archivo SIAB.</v>
      </c>
      <c r="BE19" t="e">
        <f>+VLOOKUP($N19,P1081_3,MATCH(BE$3,PAAC!#REF!,0),0)</f>
        <v>#NAME?</v>
      </c>
      <c r="BF19" t="e">
        <f>+VLOOKUP($N19,P1081_3,MATCH(BF$3,PAAC!#REF!,0),0)</f>
        <v>#NAME?</v>
      </c>
      <c r="BG19" t="e">
        <f>+VLOOKUP($N19,P1081_3,MATCH(BG$3,PAAC!#REF!,0),0)</f>
        <v>#NAME?</v>
      </c>
      <c r="BH19" t="e">
        <f>+VLOOKUP($N19,P1081_3,MATCH(BH$3,PAAC!#REF!,0),0)</f>
        <v>#NAME?</v>
      </c>
      <c r="BI19" t="e">
        <f>+VLOOKUP($N19,P1081_3,MATCH(BI$3,PAAC!#REF!,0),0)</f>
        <v>#NAME?</v>
      </c>
      <c r="BJ19" t="str">
        <f t="shared" si="17"/>
        <v/>
      </c>
    </row>
    <row r="20" spans="1:62" x14ac:dyDescent="0.3">
      <c r="A20">
        <v>18</v>
      </c>
      <c r="B20">
        <v>1125</v>
      </c>
      <c r="C20" t="s">
        <v>86</v>
      </c>
      <c r="D20">
        <v>17</v>
      </c>
      <c r="E20" t="s">
        <v>679</v>
      </c>
      <c r="F20" t="s">
        <v>596</v>
      </c>
      <c r="G20" t="s">
        <v>669</v>
      </c>
      <c r="H20" t="s">
        <v>93</v>
      </c>
      <c r="I20" t="s">
        <v>680</v>
      </c>
      <c r="J20" t="s">
        <v>681</v>
      </c>
      <c r="K20" t="s">
        <v>682</v>
      </c>
      <c r="L20" t="s">
        <v>638</v>
      </c>
      <c r="M20" t="s">
        <v>639</v>
      </c>
      <c r="N20" t="str">
        <f t="shared" si="0"/>
        <v>18_5</v>
      </c>
      <c r="O20">
        <v>10000</v>
      </c>
      <c r="P20" s="13">
        <v>1</v>
      </c>
      <c r="Q20">
        <v>5</v>
      </c>
      <c r="R20" t="s">
        <v>704</v>
      </c>
      <c r="S20" t="s">
        <v>690</v>
      </c>
      <c r="T20" t="s">
        <v>675</v>
      </c>
      <c r="U20" s="13">
        <v>1.1509080340539548E-2</v>
      </c>
      <c r="V20" s="13">
        <f t="shared" si="1"/>
        <v>0.17231384931133267</v>
      </c>
      <c r="W20" s="13">
        <f t="shared" si="19"/>
        <v>6.6791383203013518E-2</v>
      </c>
      <c r="X20" s="9">
        <v>43831</v>
      </c>
      <c r="Y20" s="9">
        <v>43982</v>
      </c>
      <c r="Z20" s="10">
        <v>0.16</v>
      </c>
      <c r="AA20" s="13">
        <f t="shared" si="2"/>
        <v>1.0686621312482164E-2</v>
      </c>
      <c r="AB20" s="13">
        <f t="shared" si="3"/>
        <v>8.6861225459506211E-2</v>
      </c>
      <c r="AC20" t="s">
        <v>705</v>
      </c>
      <c r="AD20" s="10">
        <v>0.21</v>
      </c>
      <c r="AE20" s="13">
        <f t="shared" si="4"/>
        <v>1.4026190472632838E-2</v>
      </c>
      <c r="AF20" s="13">
        <f t="shared" si="5"/>
        <v>0.13879230961178987</v>
      </c>
      <c r="AG20" t="s">
        <v>705</v>
      </c>
      <c r="AH20" s="10">
        <v>0.21</v>
      </c>
      <c r="AI20" s="13">
        <f t="shared" si="6"/>
        <v>1.4026190472632838E-2</v>
      </c>
      <c r="AJ20" s="13">
        <f t="shared" si="7"/>
        <v>0.22419715771810575</v>
      </c>
      <c r="AK20" t="s">
        <v>705</v>
      </c>
      <c r="AL20" s="10">
        <v>0.21</v>
      </c>
      <c r="AM20" s="13">
        <f t="shared" si="8"/>
        <v>1.4026190472632838E-2</v>
      </c>
      <c r="AN20" s="13">
        <f t="shared" si="9"/>
        <v>0.2838286711562627</v>
      </c>
      <c r="AO20" t="s">
        <v>705</v>
      </c>
      <c r="AP20" s="10">
        <v>0.21</v>
      </c>
      <c r="AQ20" s="13">
        <f t="shared" si="10"/>
        <v>1.4026190472632838E-2</v>
      </c>
      <c r="AR20" s="13">
        <f t="shared" si="11"/>
        <v>0.26632063605433531</v>
      </c>
      <c r="AS20" t="s">
        <v>705</v>
      </c>
      <c r="AT20" t="str">
        <f t="shared" si="12"/>
        <v>ENERO: Memorando reportando las actividades de implementación del sistema integrado de conservación al Subdirector Técnico. FEBRERO: Memorando reportando las actividades de implementación del sistema integrado de conservación al Subdirector Técnico. MARZO: Memorando reportando las actividades de implementación del sistema integrado de conservación al Subdirector Técnico. ABRIL: Memorando reportando las actividades de implementación del sistema integrado de conservación al Subdirector Técnico. MAYO: Memorando reportando las actividades de implementación del sistema integrado de conservación al Subdirector Técnico.</v>
      </c>
      <c r="AU20" s="14">
        <f t="shared" si="13"/>
        <v>0.99999999999999989</v>
      </c>
      <c r="AV20" s="13">
        <f t="shared" si="14"/>
        <v>6.6791383203013505E-2</v>
      </c>
      <c r="AW20" s="13">
        <f t="shared" si="15"/>
        <v>1</v>
      </c>
      <c r="AX20" t="s">
        <v>678</v>
      </c>
      <c r="AY20" t="s">
        <v>687</v>
      </c>
      <c r="AZ20" t="s">
        <v>688</v>
      </c>
      <c r="BA20" t="s">
        <v>689</v>
      </c>
      <c r="BB20" t="s">
        <v>690</v>
      </c>
      <c r="BC20" t="s">
        <v>691</v>
      </c>
      <c r="BD20" t="str">
        <f t="shared" si="16"/>
        <v>Acopiar,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histórica de la ciudad.Realizar acciones de divulgación y pedagogía, para la apropiación social de la memoria histórica de la ciudad y la función archivística.Realizar actividades de implementación del sistema integrado de conservación para el archivo de bogotá y las entidades distritales.Soporte a la adminsitración del sistema de archivo SIAB.</v>
      </c>
      <c r="BE20" t="e">
        <f>+VLOOKUP($N20,P1081_3,MATCH(BE$3,PAAC!#REF!,0),0)</f>
        <v>#NAME?</v>
      </c>
      <c r="BF20" t="e">
        <f>+VLOOKUP($N20,P1081_3,MATCH(BF$3,PAAC!#REF!,0),0)</f>
        <v>#NAME?</v>
      </c>
      <c r="BG20" t="e">
        <f>+VLOOKUP($N20,P1081_3,MATCH(BG$3,PAAC!#REF!,0),0)</f>
        <v>#NAME?</v>
      </c>
      <c r="BH20" t="e">
        <f>+VLOOKUP($N20,P1081_3,MATCH(BH$3,PAAC!#REF!,0),0)</f>
        <v>#NAME?</v>
      </c>
      <c r="BI20" t="e">
        <f>+VLOOKUP($N20,P1081_3,MATCH(BI$3,PAAC!#REF!,0),0)</f>
        <v>#NAME?</v>
      </c>
      <c r="BJ20" t="str">
        <f t="shared" si="17"/>
        <v/>
      </c>
    </row>
    <row r="21" spans="1:62" x14ac:dyDescent="0.3">
      <c r="A21">
        <v>18</v>
      </c>
      <c r="B21">
        <v>1125</v>
      </c>
      <c r="C21" t="s">
        <v>86</v>
      </c>
      <c r="D21">
        <v>17</v>
      </c>
      <c r="E21" t="s">
        <v>679</v>
      </c>
      <c r="F21" t="s">
        <v>596</v>
      </c>
      <c r="G21" t="s">
        <v>669</v>
      </c>
      <c r="H21" t="s">
        <v>93</v>
      </c>
      <c r="I21" t="s">
        <v>680</v>
      </c>
      <c r="J21" t="s">
        <v>681</v>
      </c>
      <c r="K21" t="s">
        <v>682</v>
      </c>
      <c r="L21" t="s">
        <v>638</v>
      </c>
      <c r="M21" t="s">
        <v>639</v>
      </c>
      <c r="N21" t="str">
        <f t="shared" si="0"/>
        <v>18_6</v>
      </c>
      <c r="O21">
        <v>10000</v>
      </c>
      <c r="P21" s="13">
        <v>1</v>
      </c>
      <c r="Q21">
        <v>6</v>
      </c>
      <c r="R21" t="s">
        <v>706</v>
      </c>
      <c r="S21" t="s">
        <v>691</v>
      </c>
      <c r="T21" t="s">
        <v>675</v>
      </c>
      <c r="U21" s="13">
        <v>4.262614719527799E-3</v>
      </c>
      <c r="V21" s="13">
        <f t="shared" si="1"/>
        <v>0.17231384931133267</v>
      </c>
      <c r="W21" s="13">
        <f t="shared" si="19"/>
        <v>2.4737505061628594E-2</v>
      </c>
      <c r="X21" s="9">
        <v>43831</v>
      </c>
      <c r="Y21" s="9">
        <v>43982</v>
      </c>
      <c r="Z21" s="10">
        <v>0.2</v>
      </c>
      <c r="AA21" s="13">
        <f t="shared" si="2"/>
        <v>4.9475010123257194E-3</v>
      </c>
      <c r="AB21" s="13">
        <f t="shared" si="3"/>
        <v>8.6861225459506211E-2</v>
      </c>
      <c r="AC21" t="s">
        <v>707</v>
      </c>
      <c r="AD21" s="10">
        <v>0.2</v>
      </c>
      <c r="AE21" s="13">
        <f t="shared" si="4"/>
        <v>4.9475010123257194E-3</v>
      </c>
      <c r="AF21" s="13">
        <f t="shared" si="5"/>
        <v>0.13879230961178987</v>
      </c>
      <c r="AG21" t="s">
        <v>707</v>
      </c>
      <c r="AH21" s="10">
        <v>0.2</v>
      </c>
      <c r="AI21" s="13">
        <f t="shared" si="6"/>
        <v>4.9475010123257194E-3</v>
      </c>
      <c r="AJ21" s="13">
        <f t="shared" si="7"/>
        <v>0.22419715771810575</v>
      </c>
      <c r="AK21" t="s">
        <v>707</v>
      </c>
      <c r="AL21" s="10">
        <v>0.2</v>
      </c>
      <c r="AM21" s="13">
        <f t="shared" si="8"/>
        <v>4.9475010123257194E-3</v>
      </c>
      <c r="AN21" s="13">
        <f t="shared" si="9"/>
        <v>0.2838286711562627</v>
      </c>
      <c r="AO21" t="s">
        <v>707</v>
      </c>
      <c r="AP21" s="10">
        <v>0.2</v>
      </c>
      <c r="AQ21" s="13">
        <f t="shared" si="10"/>
        <v>4.9475010123257194E-3</v>
      </c>
      <c r="AR21" s="13">
        <f t="shared" si="11"/>
        <v>0.26632063605433531</v>
      </c>
      <c r="AS21" t="s">
        <v>707</v>
      </c>
      <c r="AT21" t="str">
        <f t="shared" si="12"/>
        <v>ENERO: Informe de incidencias SIAB atendidas y solucionadas. FEBRERO: Informe de incidencias SIAB atendidas y solucionadas. MARZO: Informe de incidencias SIAB atendidas y solucionadas. ABRIL: Informe de incidencias SIAB atendidas y solucionadas. MAYO: Informe de incidencias SIAB atendidas y solucionadas.</v>
      </c>
      <c r="AU21" s="14">
        <f t="shared" si="13"/>
        <v>1</v>
      </c>
      <c r="AV21" s="13">
        <f t="shared" si="14"/>
        <v>2.4737505061628594E-2</v>
      </c>
      <c r="AW21" s="13">
        <f t="shared" si="15"/>
        <v>1</v>
      </c>
      <c r="AX21" t="s">
        <v>678</v>
      </c>
      <c r="AY21" t="s">
        <v>687</v>
      </c>
      <c r="AZ21" t="s">
        <v>688</v>
      </c>
      <c r="BA21" t="s">
        <v>689</v>
      </c>
      <c r="BB21" t="s">
        <v>690</v>
      </c>
      <c r="BC21" t="s">
        <v>691</v>
      </c>
      <c r="BD21" t="str">
        <f t="shared" si="16"/>
        <v>Acopiar, catalogar y/o describir unidades documentales de interés patrimonial para la ciudad.Apoyo ala gestión administrativa y financiera para la puesta al servicio de las unidades documentales.Desarrollar acciones que contribuyan a la recuperación y apropiación de memoria histórica de la ciudad.Realizar acciones de divulgación y pedagogía, para la apropiación social de la memoria histórica de la ciudad y la función archivística.Realizar actividades de implementación del sistema integrado de conservación para el archivo de bogotá y las entidades distritales.Soporte a la adminsitración del sistema de archivo SIAB.</v>
      </c>
      <c r="BE21" t="e">
        <f>+VLOOKUP($N21,P1081_3,MATCH(BE$3,PAAC!#REF!,0),0)</f>
        <v>#NAME?</v>
      </c>
      <c r="BF21" t="e">
        <f>+VLOOKUP($N21,P1081_3,MATCH(BF$3,PAAC!#REF!,0),0)</f>
        <v>#NAME?</v>
      </c>
      <c r="BG21" t="e">
        <f>+VLOOKUP($N21,P1081_3,MATCH(BG$3,PAAC!#REF!,0),0)</f>
        <v>#NAME?</v>
      </c>
      <c r="BH21" t="e">
        <f>+VLOOKUP($N21,P1081_3,MATCH(BH$3,PAAC!#REF!,0),0)</f>
        <v>#NAME?</v>
      </c>
      <c r="BI21" t="e">
        <f>+VLOOKUP($N21,P1081_3,MATCH(BI$3,PAAC!#REF!,0),0)</f>
        <v>#NAME?</v>
      </c>
      <c r="BJ21" t="str">
        <f t="shared" si="17"/>
        <v/>
      </c>
    </row>
    <row r="22" spans="1:62" x14ac:dyDescent="0.3">
      <c r="A22" t="s">
        <v>708</v>
      </c>
      <c r="B22">
        <v>1125</v>
      </c>
      <c r="C22" t="s">
        <v>86</v>
      </c>
      <c r="D22">
        <v>22</v>
      </c>
      <c r="E22" t="s">
        <v>709</v>
      </c>
      <c r="F22" t="s">
        <v>596</v>
      </c>
      <c r="G22" t="s">
        <v>669</v>
      </c>
      <c r="H22" t="s">
        <v>93</v>
      </c>
      <c r="I22">
        <v>0</v>
      </c>
      <c r="J22" t="s">
        <v>710</v>
      </c>
      <c r="K22" t="s">
        <v>711</v>
      </c>
      <c r="L22" t="s">
        <v>638</v>
      </c>
      <c r="M22">
        <v>0</v>
      </c>
      <c r="N22" t="str">
        <f t="shared" si="0"/>
        <v>22B_1</v>
      </c>
      <c r="O22">
        <v>3</v>
      </c>
      <c r="P22" s="13">
        <v>1</v>
      </c>
      <c r="Q22">
        <v>1</v>
      </c>
      <c r="R22" t="s">
        <v>712</v>
      </c>
      <c r="S22" t="s">
        <v>713</v>
      </c>
      <c r="T22" t="s">
        <v>675</v>
      </c>
      <c r="U22" s="13">
        <v>4.1347228893625472E-2</v>
      </c>
      <c r="V22" s="13">
        <f t="shared" si="1"/>
        <v>6.5296565273238252E-2</v>
      </c>
      <c r="W22" s="13">
        <f t="shared" si="19"/>
        <v>0.63322211085077706</v>
      </c>
      <c r="X22" s="9">
        <v>43831</v>
      </c>
      <c r="Y22" s="9">
        <v>43982</v>
      </c>
      <c r="Z22" s="10">
        <v>0.14000000000000001</v>
      </c>
      <c r="AA22" s="13">
        <f t="shared" si="2"/>
        <v>8.8651095519108797E-2</v>
      </c>
      <c r="AB22" s="13">
        <f t="shared" si="3"/>
        <v>9.5986653302093258E-2</v>
      </c>
      <c r="AC22" t="s">
        <v>714</v>
      </c>
      <c r="AD22" s="10">
        <v>0.05</v>
      </c>
      <c r="AE22" s="13">
        <f t="shared" si="4"/>
        <v>3.1661105542538856E-2</v>
      </c>
      <c r="AF22" s="13">
        <f t="shared" si="5"/>
        <v>0.05</v>
      </c>
      <c r="AG22" t="s">
        <v>714</v>
      </c>
      <c r="AH22" s="10">
        <v>0.38</v>
      </c>
      <c r="AI22" s="13">
        <f t="shared" si="6"/>
        <v>0.24062440212329528</v>
      </c>
      <c r="AJ22" s="13">
        <f t="shared" si="7"/>
        <v>0.28830552771269424</v>
      </c>
      <c r="AK22" t="s">
        <v>715</v>
      </c>
      <c r="AL22" s="10">
        <v>0.24</v>
      </c>
      <c r="AM22" s="13">
        <f t="shared" si="8"/>
        <v>0.15197330660418648</v>
      </c>
      <c r="AN22" s="13">
        <f t="shared" si="9"/>
        <v>0.22532888443403104</v>
      </c>
      <c r="AO22" t="s">
        <v>714</v>
      </c>
      <c r="AP22" s="10">
        <v>0.19</v>
      </c>
      <c r="AQ22" s="13">
        <f t="shared" si="10"/>
        <v>0.12031220106164764</v>
      </c>
      <c r="AR22" s="13">
        <f t="shared" si="11"/>
        <v>0.3403789345511814</v>
      </c>
      <c r="AS22" t="s">
        <v>714</v>
      </c>
      <c r="AT22" t="str">
        <f t="shared" si="12"/>
        <v>ENERO: Conceptos técnicos de revisión y evaluación de TRD y TVD FEBRERO: Conceptos técnicos de revisión y evaluación de TRD y TVD MARZO: Conceptos técnicos de revisión y evaluación de TRD y TVD. ABRIL: Conceptos técnicos de revisión y evaluación de TRD y TVD MAYO: Conceptos técnicos de revisión y evaluación de TRD y TVD</v>
      </c>
      <c r="AU22" s="14">
        <f t="shared" si="13"/>
        <v>1</v>
      </c>
      <c r="AV22" s="13">
        <f t="shared" si="14"/>
        <v>0.63322211085077706</v>
      </c>
      <c r="AW22" s="13">
        <f t="shared" si="15"/>
        <v>1</v>
      </c>
      <c r="AX22" t="s">
        <v>713</v>
      </c>
      <c r="AY22" t="s">
        <v>716</v>
      </c>
      <c r="BD22" t="str">
        <f t="shared" si="16"/>
        <v>Brindar acompañamiento a la formulación, actualización y/o implementación de los instrumentos archivísticos y otros componentes de la gestión documental por parte de las Entidades Distritales y Organismos de Control y Concejo DistritalesImplementar acciones que conduzcan a la sostenibilidad del proceso de modernización y eficiente gestión documental en el Distrito Capital</v>
      </c>
      <c r="BE22" t="e">
        <f>+VLOOKUP($N22,P1081_3,MATCH(BE$3,PAAC!#REF!,0),0)</f>
        <v>#NAME?</v>
      </c>
      <c r="BF22" t="e">
        <f>+VLOOKUP($N22,P1081_3,MATCH(BF$3,PAAC!#REF!,0),0)</f>
        <v>#NAME?</v>
      </c>
      <c r="BG22" t="e">
        <f>+VLOOKUP($N22,P1081_3,MATCH(BG$3,PAAC!#REF!,0),0)</f>
        <v>#NAME?</v>
      </c>
      <c r="BH22" t="e">
        <f>+VLOOKUP($N22,P1081_3,MATCH(BH$3,PAAC!#REF!,0),0)</f>
        <v>#NAME?</v>
      </c>
      <c r="BI22" t="e">
        <f>+VLOOKUP($N22,P1081_3,MATCH(BI$3,PAAC!#REF!,0),0)</f>
        <v>#NAME?</v>
      </c>
      <c r="BJ22" t="str">
        <f t="shared" si="17"/>
        <v/>
      </c>
    </row>
    <row r="23" spans="1:62" x14ac:dyDescent="0.3">
      <c r="A23" t="s">
        <v>708</v>
      </c>
      <c r="B23">
        <v>1125</v>
      </c>
      <c r="C23" t="s">
        <v>86</v>
      </c>
      <c r="D23">
        <v>22</v>
      </c>
      <c r="E23" t="s">
        <v>709</v>
      </c>
      <c r="F23" t="s">
        <v>596</v>
      </c>
      <c r="G23" t="s">
        <v>669</v>
      </c>
      <c r="H23" t="s">
        <v>93</v>
      </c>
      <c r="I23">
        <v>0</v>
      </c>
      <c r="J23" t="s">
        <v>710</v>
      </c>
      <c r="K23" t="s">
        <v>711</v>
      </c>
      <c r="L23" t="s">
        <v>638</v>
      </c>
      <c r="M23">
        <v>0</v>
      </c>
      <c r="N23" t="str">
        <f t="shared" si="0"/>
        <v>22B_2</v>
      </c>
      <c r="O23">
        <v>3</v>
      </c>
      <c r="P23" s="13">
        <v>1</v>
      </c>
      <c r="Q23">
        <v>2</v>
      </c>
      <c r="R23" t="s">
        <v>717</v>
      </c>
      <c r="S23" t="s">
        <v>716</v>
      </c>
      <c r="T23" t="s">
        <v>675</v>
      </c>
      <c r="U23" s="13">
        <v>2.3949336379612777E-2</v>
      </c>
      <c r="V23" s="13">
        <f t="shared" si="1"/>
        <v>6.5296565273238252E-2</v>
      </c>
      <c r="W23" s="13">
        <f t="shared" si="19"/>
        <v>0.36677788914922288</v>
      </c>
      <c r="X23" s="9">
        <v>43862</v>
      </c>
      <c r="Y23" s="9">
        <v>43982</v>
      </c>
      <c r="Z23" s="10">
        <v>0.02</v>
      </c>
      <c r="AA23" s="13">
        <f t="shared" si="2"/>
        <v>7.335557782984458E-3</v>
      </c>
      <c r="AB23" s="13">
        <f t="shared" si="3"/>
        <v>9.5986653302093258E-2</v>
      </c>
      <c r="AC23" t="s">
        <v>718</v>
      </c>
      <c r="AD23" s="10">
        <v>0.05</v>
      </c>
      <c r="AE23" s="13">
        <f t="shared" si="4"/>
        <v>1.8338894457461143E-2</v>
      </c>
      <c r="AF23" s="13">
        <f t="shared" si="5"/>
        <v>0.05</v>
      </c>
      <c r="AG23" t="s">
        <v>719</v>
      </c>
      <c r="AH23" s="10">
        <v>0.13</v>
      </c>
      <c r="AI23" s="13">
        <f t="shared" si="6"/>
        <v>4.7681125589398979E-2</v>
      </c>
      <c r="AJ23" s="13">
        <f t="shared" si="7"/>
        <v>0.28830552771269424</v>
      </c>
      <c r="AK23" t="s">
        <v>720</v>
      </c>
      <c r="AL23" s="10">
        <v>0.2</v>
      </c>
      <c r="AM23" s="13">
        <f t="shared" si="8"/>
        <v>7.3355577829844573E-2</v>
      </c>
      <c r="AN23" s="13">
        <f t="shared" si="9"/>
        <v>0.22532888443403104</v>
      </c>
      <c r="AO23" t="s">
        <v>721</v>
      </c>
      <c r="AP23" s="10">
        <v>0.6</v>
      </c>
      <c r="AQ23" s="13">
        <f t="shared" si="10"/>
        <v>0.22006673348953373</v>
      </c>
      <c r="AR23" s="13">
        <f t="shared" si="11"/>
        <v>0.3403789345511814</v>
      </c>
      <c r="AS23" t="s">
        <v>721</v>
      </c>
      <c r="AT23" t="str">
        <f t="shared" si="12"/>
        <v>ENERO: Matriz de Planeación,  evidencia de reunión, registro de asistencia y concepto técnico  de asistencia técnica. FEBRERO: Evidencia de reunión, registro de asistencia y concepto técnico de  asistencia técnica. MARZO: Evidencia de reunión, registro de asistencia, Acta de apertura y cierre de la visita de seguimiento,  boletín infonormate y  concepto técnico de la asistencia técnica. ABRIL: Evidencia de reunión, registro de asistencia, Acta de apertura y cierre de la visita de seguimiento, proyecto circular derogación 01/2013 y obligatoriedad de reportar a DDAB modificaciones a TRD que no deban convalidarse en CDA, concepto técnico  de asistencia técnica y presentación de la socialización de la agenda corporativa de gestión documental y administración de Archivos para Directivos y avance en la estructura del proyecto de Decreto SGDA. MAYO: Evidencia de reunión, registro de asistencia, Acta de apertura y cierre de la visita de seguimiento, proyecto circular derogación 01/2013 y obligatoriedad de reportar a DDAB modificaciones a TRD que no deban convalidarse en CDA, concepto técnico  de asistencia técnica y presentación de la socialización de la agenda corporativa de gestión documental y administración de Archivos para Directivos y avance en la estructura del proyecto de Decreto SGDA.</v>
      </c>
      <c r="AU23" s="14">
        <f t="shared" si="13"/>
        <v>1</v>
      </c>
      <c r="AV23" s="13">
        <f t="shared" si="14"/>
        <v>0.36677788914922288</v>
      </c>
      <c r="AW23" s="13">
        <f t="shared" si="15"/>
        <v>1</v>
      </c>
      <c r="AX23" t="s">
        <v>713</v>
      </c>
      <c r="AY23" t="s">
        <v>716</v>
      </c>
      <c r="BD23" t="str">
        <f t="shared" si="16"/>
        <v>Brindar acompañamiento a la formulación, actualización y/o implementación de los instrumentos archivísticos y otros componentes de la gestión documental por parte de las Entidades Distritales y Organismos de Control y Concejo DistritalesImplementar acciones que conduzcan a la sostenibilidad del proceso de modernización y eficiente gestión documental en el Distrito Capital</v>
      </c>
      <c r="BE23" t="e">
        <f>+VLOOKUP($N23,P1081_3,MATCH(BE$3,PAAC!#REF!,0),0)</f>
        <v>#NAME?</v>
      </c>
      <c r="BF23" t="e">
        <f>+VLOOKUP($N23,P1081_3,MATCH(BF$3,PAAC!#REF!,0),0)</f>
        <v>#NAME?</v>
      </c>
      <c r="BG23" t="e">
        <f>+VLOOKUP($N23,P1081_3,MATCH(BG$3,PAAC!#REF!,0),0)</f>
        <v>#NAME?</v>
      </c>
      <c r="BH23" t="e">
        <f>+VLOOKUP($N23,P1081_3,MATCH(BH$3,PAAC!#REF!,0),0)</f>
        <v>#NAME?</v>
      </c>
      <c r="BI23" t="e">
        <f>+VLOOKUP($N23,P1081_3,MATCH(BI$3,PAAC!#REF!,0),0)</f>
        <v>#NAME?</v>
      </c>
      <c r="BJ23" t="str">
        <f t="shared" si="17"/>
        <v/>
      </c>
    </row>
    <row r="24" spans="1:62" x14ac:dyDescent="0.3">
      <c r="A24">
        <v>24</v>
      </c>
      <c r="B24">
        <v>1125</v>
      </c>
      <c r="C24" t="s">
        <v>86</v>
      </c>
      <c r="D24">
        <v>6</v>
      </c>
      <c r="E24" t="s">
        <v>722</v>
      </c>
      <c r="F24" t="s">
        <v>596</v>
      </c>
      <c r="G24" t="s">
        <v>669</v>
      </c>
      <c r="H24" t="s">
        <v>99</v>
      </c>
      <c r="I24" t="s">
        <v>723</v>
      </c>
      <c r="J24" t="s">
        <v>724</v>
      </c>
      <c r="K24" t="s">
        <v>725</v>
      </c>
      <c r="L24" t="s">
        <v>638</v>
      </c>
      <c r="M24" t="s">
        <v>639</v>
      </c>
      <c r="N24" t="str">
        <f t="shared" si="0"/>
        <v>24_1</v>
      </c>
      <c r="O24">
        <v>1</v>
      </c>
      <c r="P24" s="13">
        <v>1</v>
      </c>
      <c r="Q24">
        <v>1</v>
      </c>
      <c r="R24" t="s">
        <v>726</v>
      </c>
      <c r="S24" t="s">
        <v>727</v>
      </c>
      <c r="T24" t="s">
        <v>728</v>
      </c>
      <c r="U24" s="13">
        <v>1.2362035838549387E-2</v>
      </c>
      <c r="V24" s="13">
        <f t="shared" si="1"/>
        <v>0.14855123212006713</v>
      </c>
      <c r="W24" s="13">
        <f t="shared" si="19"/>
        <v>8.3217322819360534E-2</v>
      </c>
      <c r="X24" s="9">
        <v>43837</v>
      </c>
      <c r="Y24" s="9">
        <v>43981</v>
      </c>
      <c r="Z24" s="10">
        <v>0.1</v>
      </c>
      <c r="AA24" s="13">
        <f t="shared" si="2"/>
        <v>8.3217322819360545E-3</v>
      </c>
      <c r="AB24" s="13">
        <f t="shared" si="3"/>
        <v>0.1</v>
      </c>
      <c r="AC24" t="s">
        <v>729</v>
      </c>
      <c r="AD24" s="10">
        <v>0.2</v>
      </c>
      <c r="AE24" s="13">
        <f t="shared" si="4"/>
        <v>1.6643464563872109E-2</v>
      </c>
      <c r="AF24" s="13">
        <f t="shared" si="5"/>
        <v>0.2</v>
      </c>
      <c r="AG24" t="s">
        <v>730</v>
      </c>
      <c r="AH24" s="10">
        <v>0.2</v>
      </c>
      <c r="AI24" s="13">
        <f t="shared" si="6"/>
        <v>1.6643464563872109E-2</v>
      </c>
      <c r="AJ24" s="13">
        <f t="shared" si="7"/>
        <v>0.2</v>
      </c>
      <c r="AK24" t="s">
        <v>731</v>
      </c>
      <c r="AL24" s="10">
        <v>0.25</v>
      </c>
      <c r="AM24" s="13">
        <f t="shared" si="8"/>
        <v>2.0804330704840134E-2</v>
      </c>
      <c r="AN24" s="13">
        <f t="shared" si="9"/>
        <v>0.25</v>
      </c>
      <c r="AO24" t="s">
        <v>732</v>
      </c>
      <c r="AP24" s="10">
        <v>0.25</v>
      </c>
      <c r="AQ24" s="13">
        <f t="shared" si="10"/>
        <v>2.0804330704840134E-2</v>
      </c>
      <c r="AR24" s="13">
        <f t="shared" si="11"/>
        <v>0.25</v>
      </c>
      <c r="AS24" t="s">
        <v>732</v>
      </c>
      <c r="AT24" t="str">
        <f t="shared" si="12"/>
        <v xml:space="preserve">ENERO: Definición Plan de Contratación de la Dependencia  FEBRERO: (Diagnóstico, Alineación metas PDD - Plan de Acción)  MARZO: Plan de Trabajo Desarrollo  inicial de la Estrategias (Listados de Asistencia, Evidencias de Ejecución) ABRIL: Desarrollo de la Estrategia (Listados de la asistencia, informes de ejecución de la estrategia)  MAYO: Desarrollo de la Estrategia (Listados de la asistencia, informes de ejecución de la estrategia) </v>
      </c>
      <c r="AU24" s="14">
        <f t="shared" si="13"/>
        <v>1</v>
      </c>
      <c r="AV24" s="13">
        <f t="shared" si="14"/>
        <v>8.3217322819360534E-2</v>
      </c>
      <c r="AW24" s="13">
        <f t="shared" si="15"/>
        <v>1</v>
      </c>
      <c r="AX24" t="s">
        <v>727</v>
      </c>
      <c r="AY24" t="s">
        <v>733</v>
      </c>
      <c r="BD24" t="str">
        <f t="shared" si="16"/>
        <v>Realizar actividades para el desarrollo de las estrategias de ModernizaciónRealizar las actividades para el desarrollo de los productos de las Políticas Públicas</v>
      </c>
      <c r="BE24" t="e">
        <f>+VLOOKUP($N24,P1081_3,MATCH(BE$3,PAAC!#REF!,0),0)</f>
        <v>#NAME?</v>
      </c>
      <c r="BF24" t="e">
        <f>+VLOOKUP($N24,P1081_3,MATCH(BF$3,PAAC!#REF!,0),0)</f>
        <v>#NAME?</v>
      </c>
      <c r="BG24" t="e">
        <f>+VLOOKUP($N24,P1081_3,MATCH(BG$3,PAAC!#REF!,0),0)</f>
        <v>#NAME?</v>
      </c>
      <c r="BH24" t="e">
        <f>+VLOOKUP($N24,P1081_3,MATCH(BH$3,PAAC!#REF!,0),0)</f>
        <v>#NAME?</v>
      </c>
      <c r="BI24" t="e">
        <f>+VLOOKUP($N24,P1081_3,MATCH(BI$3,PAAC!#REF!,0),0)</f>
        <v>#NAME?</v>
      </c>
      <c r="BJ24" t="str">
        <f t="shared" si="17"/>
        <v/>
      </c>
    </row>
    <row r="25" spans="1:62" x14ac:dyDescent="0.3">
      <c r="A25">
        <v>24</v>
      </c>
      <c r="B25">
        <v>1125</v>
      </c>
      <c r="C25" t="s">
        <v>86</v>
      </c>
      <c r="D25">
        <v>6</v>
      </c>
      <c r="E25" t="s">
        <v>722</v>
      </c>
      <c r="F25" t="s">
        <v>596</v>
      </c>
      <c r="G25" t="s">
        <v>669</v>
      </c>
      <c r="H25" t="s">
        <v>99</v>
      </c>
      <c r="I25" t="s">
        <v>723</v>
      </c>
      <c r="J25" t="s">
        <v>724</v>
      </c>
      <c r="K25" t="s">
        <v>725</v>
      </c>
      <c r="L25" t="s">
        <v>638</v>
      </c>
      <c r="M25" t="s">
        <v>639</v>
      </c>
      <c r="N25" t="str">
        <f t="shared" si="0"/>
        <v>24_2</v>
      </c>
      <c r="O25">
        <v>1</v>
      </c>
      <c r="P25" s="13">
        <v>1</v>
      </c>
      <c r="Q25">
        <v>2</v>
      </c>
      <c r="R25" t="s">
        <v>734</v>
      </c>
      <c r="S25" t="s">
        <v>733</v>
      </c>
      <c r="T25" t="s">
        <v>728</v>
      </c>
      <c r="U25" s="13">
        <v>0.13618919628151774</v>
      </c>
      <c r="V25" s="13">
        <f t="shared" si="1"/>
        <v>0.14855123212006713</v>
      </c>
      <c r="W25" s="13">
        <f t="shared" si="19"/>
        <v>0.91678267718063944</v>
      </c>
      <c r="X25" s="9">
        <v>43837</v>
      </c>
      <c r="Y25" s="9">
        <v>43981</v>
      </c>
      <c r="Z25" s="10">
        <v>0.1</v>
      </c>
      <c r="AA25" s="13">
        <f t="shared" si="2"/>
        <v>9.1678267718063949E-2</v>
      </c>
      <c r="AB25" s="13">
        <f t="shared" si="3"/>
        <v>0.1</v>
      </c>
      <c r="AC25" t="s">
        <v>729</v>
      </c>
      <c r="AD25" s="10">
        <v>0.2</v>
      </c>
      <c r="AE25" s="13">
        <f t="shared" si="4"/>
        <v>0.1833565354361279</v>
      </c>
      <c r="AF25" s="13">
        <f t="shared" si="5"/>
        <v>0.2</v>
      </c>
      <c r="AG25" t="s">
        <v>730</v>
      </c>
      <c r="AH25" s="10">
        <v>0.2</v>
      </c>
      <c r="AI25" s="13">
        <f t="shared" si="6"/>
        <v>0.1833565354361279</v>
      </c>
      <c r="AJ25" s="13">
        <f t="shared" si="7"/>
        <v>0.2</v>
      </c>
      <c r="AK25" t="s">
        <v>735</v>
      </c>
      <c r="AL25" s="10">
        <v>0.25</v>
      </c>
      <c r="AM25" s="13">
        <f t="shared" si="8"/>
        <v>0.22919566929515986</v>
      </c>
      <c r="AN25" s="13">
        <f t="shared" si="9"/>
        <v>0.25</v>
      </c>
      <c r="AO25" t="s">
        <v>736</v>
      </c>
      <c r="AP25" s="10">
        <v>0.25</v>
      </c>
      <c r="AQ25" s="13">
        <f t="shared" si="10"/>
        <v>0.22919566929515986</v>
      </c>
      <c r="AR25" s="13">
        <f t="shared" si="11"/>
        <v>0.25</v>
      </c>
      <c r="AS25" t="s">
        <v>736</v>
      </c>
      <c r="AT25" t="str">
        <f t="shared" si="12"/>
        <v>ENERO: Definición Plan de Contratación de la Dependencia  FEBRERO: (Diagnóstico, Alineación metas PDD - Plan de Acción)  MARZO: Plan de Trabajo Desarrollo inicial de la Estrategias (Listados de Asistencia, Evidencias de Ejecución) ABRIL: Desarrollo de la Estrategia  (Listados de la asistencia, informes de ejecución de la estrategia) MAYO: Desarrollo de la Estrategia  (Listados de la asistencia, informes de ejecución de la estrategia)</v>
      </c>
      <c r="AU25" s="14">
        <f t="shared" si="13"/>
        <v>1</v>
      </c>
      <c r="AV25" s="13">
        <f t="shared" si="14"/>
        <v>0.91678267718063944</v>
      </c>
      <c r="AW25" s="13">
        <f t="shared" si="15"/>
        <v>1</v>
      </c>
      <c r="AX25" t="s">
        <v>727</v>
      </c>
      <c r="AY25" t="s">
        <v>733</v>
      </c>
      <c r="BD25" t="str">
        <f t="shared" si="16"/>
        <v>Realizar actividades para el desarrollo de las estrategias de ModernizaciónRealizar las actividades para el desarrollo de los productos de las Políticas Públicas</v>
      </c>
      <c r="BE25" t="e">
        <f>+VLOOKUP($N25,P1081_3,MATCH(BE$3,PAAC!#REF!,0),0)</f>
        <v>#NAME?</v>
      </c>
      <c r="BF25" t="e">
        <f>+VLOOKUP($N25,P1081_3,MATCH(BF$3,PAAC!#REF!,0),0)</f>
        <v>#NAME?</v>
      </c>
      <c r="BG25" t="e">
        <f>+VLOOKUP($N25,P1081_3,MATCH(BG$3,PAAC!#REF!,0),0)</f>
        <v>#NAME?</v>
      </c>
      <c r="BH25" t="e">
        <f>+VLOOKUP($N25,P1081_3,MATCH(BH$3,PAAC!#REF!,0),0)</f>
        <v>#NAME?</v>
      </c>
      <c r="BI25" t="e">
        <f>+VLOOKUP($N25,P1081_3,MATCH(BI$3,PAAC!#REF!,0),0)</f>
        <v>#NAME?</v>
      </c>
      <c r="BJ25" t="str">
        <f t="shared" si="17"/>
        <v/>
      </c>
    </row>
    <row r="26" spans="1:62" x14ac:dyDescent="0.3">
      <c r="A26" t="s">
        <v>737</v>
      </c>
      <c r="B26">
        <v>1125</v>
      </c>
      <c r="C26" t="s">
        <v>86</v>
      </c>
      <c r="D26">
        <v>21</v>
      </c>
      <c r="E26" t="s">
        <v>738</v>
      </c>
      <c r="F26" t="s">
        <v>596</v>
      </c>
      <c r="G26" t="s">
        <v>669</v>
      </c>
      <c r="H26" t="s">
        <v>105</v>
      </c>
      <c r="I26" t="s">
        <v>739</v>
      </c>
      <c r="J26" t="s">
        <v>740</v>
      </c>
      <c r="K26" t="s">
        <v>741</v>
      </c>
      <c r="L26" t="s">
        <v>601</v>
      </c>
      <c r="M26" t="s">
        <v>602</v>
      </c>
      <c r="N26" t="str">
        <f t="shared" si="0"/>
        <v>152E_1</v>
      </c>
      <c r="O26" s="13">
        <v>1</v>
      </c>
      <c r="P26" s="13">
        <v>1</v>
      </c>
      <c r="Q26">
        <v>1</v>
      </c>
      <c r="R26" t="s">
        <v>742</v>
      </c>
      <c r="S26" t="s">
        <v>743</v>
      </c>
      <c r="T26" t="s">
        <v>744</v>
      </c>
      <c r="U26" s="13">
        <v>6.0163692891529438E-2</v>
      </c>
      <c r="V26" s="13">
        <f t="shared" si="1"/>
        <v>0.19064533776708156</v>
      </c>
      <c r="W26" s="13">
        <f t="shared" si="19"/>
        <v>0.31557914605304244</v>
      </c>
      <c r="X26" s="9">
        <v>43831</v>
      </c>
      <c r="Y26" s="9">
        <v>43981</v>
      </c>
      <c r="Z26" s="10">
        <v>0.2</v>
      </c>
      <c r="AA26" s="13">
        <f t="shared" si="2"/>
        <v>6.3115829210608487E-2</v>
      </c>
      <c r="AB26" s="13">
        <f t="shared" si="3"/>
        <v>0.11923541506178414</v>
      </c>
      <c r="AC26" t="s">
        <v>745</v>
      </c>
      <c r="AD26" s="10">
        <v>0.2</v>
      </c>
      <c r="AE26" s="13">
        <f t="shared" si="4"/>
        <v>6.3115829210608487E-2</v>
      </c>
      <c r="AF26" s="13">
        <f t="shared" si="5"/>
        <v>0.15277339586477823</v>
      </c>
      <c r="AG26" t="s">
        <v>746</v>
      </c>
      <c r="AH26" s="10">
        <v>0.2</v>
      </c>
      <c r="AI26" s="13">
        <f t="shared" si="6"/>
        <v>6.3115829210608487E-2</v>
      </c>
      <c r="AJ26" s="13">
        <f t="shared" si="7"/>
        <v>0.1781039769123807</v>
      </c>
      <c r="AK26" t="s">
        <v>747</v>
      </c>
      <c r="AL26" s="10">
        <v>0.2</v>
      </c>
      <c r="AM26" s="13">
        <f t="shared" si="8"/>
        <v>6.3115829210608487E-2</v>
      </c>
      <c r="AN26" s="13">
        <f t="shared" si="9"/>
        <v>0.19270839007369583</v>
      </c>
      <c r="AO26" t="s">
        <v>748</v>
      </c>
      <c r="AP26" s="10">
        <v>0.2</v>
      </c>
      <c r="AQ26" s="13">
        <f t="shared" si="10"/>
        <v>6.3115829210608487E-2</v>
      </c>
      <c r="AR26" s="13">
        <f t="shared" si="11"/>
        <v>0.35717882208736107</v>
      </c>
      <c r="AS26" t="s">
        <v>748</v>
      </c>
      <c r="AT26" t="str">
        <f t="shared" si="12"/>
        <v xml:space="preserve">ENERO: (i) En relación con el producto relacionado con la creación del cargo  de abogado para la Oficina Asesora de Jurídica con dedicación exclusiva para la Secretaría Técnica del Comité de Conciliación, a cargo de la Dirección de Talento Humano y programado en el plan de trabajo para la implementación de MIPG en el componente de defensa jurídica, a esta Oficina como líder de ese proceso, le corresponde en este mes hacer seguimiento a dicha actividad y para ello, se envió a la Oficina Asesora de Planeación de la Secretaría General de la Alcaldía Mayor de Bogotá, el memorando con radicación 3-2020-1288 de 17 de enero  de 2020, solicitando la modificación del plan de trabajo en el sentido de que el cargo de abogado que se solicitó crear, no sea con dedicación exclusiva para Secretario Técnico y que mientras se crea dicho cargo,  se designe a uno de las abogadas de planta de la Oficina Asesora de Jurídica y no a un contratista.
(ii) Conforme a la modificación anterior, se debe en este mes designar el Secretario Técnico del Comité de Conciliación, lo cual se cumplió y consta en el acta 001 de 27 de enero de 2020 de dicho Comité.  FEBRERO: En relación con el seguimiento que debe hacer la Oficina Asesora de Jurídica a la creación del cargo de abogado para la Oficina Asesora de Jurídica para que actúe como Secretario Técnico del Comité de Conciliación, se envío a la Dirección de Talento Humano de la Secertaría General de la Alcaldía Mayor de Bogotá, el memorando con radicación 3-2020-2808 de 10 de febrero de 2020, dando alcance al radicado 3-2019-38326 de 9 de diciembre de 2019, modificando la solicitud en el sentido de que el cargo de abogado no sea con dededación exclusiva de Secretario Técnico del Comité de Conciliación. MARZO: (i) Para formular los indicadores  de la implementación, eficiencia y eficacia de la conciliación, el ahorro patrimonial y la efectividad de las decisiones del Comité de Conciliación y los  que miden la eficiencia y efectividad, se debe designar  gestor de calidad.
(ii) Se debe hacer seguimiento a la creación del cargo para que cumpla además de otras funciones, la de Secretario Técnico del Comité de Conciliación.
(iii) Hacer  seguimiento a la Política de Prevención del Daño antijurídico. ABRIL: (i) Formular los indicadores  de la implementación, eficiencia y eficacia de la conciliación, el ahorro patrimonial y la efectividad de las decisiones del Comité de Conciliación y los  que miden la eficiencia y efectividad, se debe designar  gestor de calidad.
(ii) Hacer eguimiento a la creación del cargo para que cumpla además de otras funciones, la de Secretario Técnico del Comité de Conciliación.
(iii) Hacer seguimiento a la Política de Prevención del Daño antijurídico.  MAYO: (i) Formular los indicadores  de la implementación, eficiencia y eficacia de la conciliación, el ahorro patrimonial y la efectividad de las decisiones del Comité de Conciliación y los  que miden la eficiencia y efectividad, se debe designar  gestor de calidad.
(ii) Hacer eguimiento a la creación del cargo para que cumpla además de otras funciones, la de Secretario Técnico del Comité de Conciliación.
(iii) Hacer seguimiento a la Política de Prevención del Daño antijurídico. </v>
      </c>
      <c r="AU26" s="14">
        <f t="shared" si="13"/>
        <v>1</v>
      </c>
      <c r="AV26" s="13">
        <f t="shared" si="14"/>
        <v>0.31557914605304244</v>
      </c>
      <c r="AW26" s="13">
        <f t="shared" si="15"/>
        <v>1</v>
      </c>
      <c r="AX26" t="s">
        <v>743</v>
      </c>
      <c r="AY26" t="s">
        <v>749</v>
      </c>
      <c r="AZ26" t="s">
        <v>750</v>
      </c>
      <c r="BA26" t="s">
        <v>751</v>
      </c>
      <c r="BB26" t="s">
        <v>752</v>
      </c>
      <c r="BC26" t="s">
        <v>753</v>
      </c>
      <c r="BD26" t="str">
        <f t="shared" si="16"/>
        <v>OAJ - Implementar y operar la defensa juridica de la Entidad.OAP - Desarrollar el plan de mejoramiento y fortalecimiento del Sistema de Gestión de Calidad de la Secretaría General en la norma ISO 9001:2015OAP - Desarrollar y acompañar la ruta estratégica de la gestión institucional y promover el seguimiento a su ejecución y desempeño.OCI - Implementar y operar la política de gestión y desempeño institucional del control interno.ST -Acompañamiento a la ejecución de políticas y estrategias en el fortalecimiento y modernización de la Gestión Pública.TH - Gestionar estratégicamente el Talento Humano, la integridad y gestion del conocimiento e innovación</v>
      </c>
      <c r="BE26" t="e">
        <f>+VLOOKUP($N26,P1081_3,MATCH(BE$3,PAAC!#REF!,0),0)</f>
        <v>#NAME?</v>
      </c>
      <c r="BF26" t="e">
        <f>+VLOOKUP($N26,P1081_3,MATCH(BF$3,PAAC!#REF!,0),0)</f>
        <v>#NAME?</v>
      </c>
      <c r="BG26" t="e">
        <f>+VLOOKUP($N26,P1081_3,MATCH(BG$3,PAAC!#REF!,0),0)</f>
        <v>#NAME?</v>
      </c>
      <c r="BH26" t="e">
        <f>+VLOOKUP($N26,P1081_3,MATCH(BH$3,PAAC!#REF!,0),0)</f>
        <v>#NAME?</v>
      </c>
      <c r="BI26" t="e">
        <f>+VLOOKUP($N26,P1081_3,MATCH(BI$3,PAAC!#REF!,0),0)</f>
        <v>#NAME?</v>
      </c>
      <c r="BJ26" t="str">
        <f t="shared" si="17"/>
        <v/>
      </c>
    </row>
    <row r="27" spans="1:62" x14ac:dyDescent="0.3">
      <c r="A27" t="s">
        <v>737</v>
      </c>
      <c r="B27">
        <v>1125</v>
      </c>
      <c r="C27" t="s">
        <v>86</v>
      </c>
      <c r="D27">
        <v>21</v>
      </c>
      <c r="E27" t="s">
        <v>738</v>
      </c>
      <c r="F27" t="s">
        <v>596</v>
      </c>
      <c r="G27" t="s">
        <v>669</v>
      </c>
      <c r="H27" t="s">
        <v>105</v>
      </c>
      <c r="I27" t="s">
        <v>739</v>
      </c>
      <c r="J27" t="s">
        <v>740</v>
      </c>
      <c r="K27" t="s">
        <v>741</v>
      </c>
      <c r="L27" t="s">
        <v>601</v>
      </c>
      <c r="M27" t="s">
        <v>602</v>
      </c>
      <c r="N27" t="str">
        <f t="shared" si="0"/>
        <v>152E_2</v>
      </c>
      <c r="O27" s="13">
        <v>1</v>
      </c>
      <c r="P27" s="13">
        <v>1</v>
      </c>
      <c r="Q27">
        <v>2</v>
      </c>
      <c r="R27" t="s">
        <v>754</v>
      </c>
      <c r="S27" t="s">
        <v>749</v>
      </c>
      <c r="T27" t="s">
        <v>755</v>
      </c>
      <c r="U27" s="13">
        <v>2.4645646013375398E-2</v>
      </c>
      <c r="V27" s="13">
        <f t="shared" si="1"/>
        <v>0.19064533776708156</v>
      </c>
      <c r="W27" s="13">
        <f t="shared" si="19"/>
        <v>0.12927484250092647</v>
      </c>
      <c r="X27" s="9">
        <v>43831</v>
      </c>
      <c r="Y27" s="9">
        <v>43981</v>
      </c>
      <c r="Z27" s="10">
        <v>0</v>
      </c>
      <c r="AA27" s="13">
        <f t="shared" si="2"/>
        <v>0</v>
      </c>
      <c r="AB27" s="13">
        <f t="shared" si="3"/>
        <v>0.11923541506178414</v>
      </c>
      <c r="AD27" s="10">
        <v>7.0000000000000007E-2</v>
      </c>
      <c r="AE27" s="13">
        <f t="shared" si="4"/>
        <v>9.0492389750648529E-3</v>
      </c>
      <c r="AF27" s="13">
        <f t="shared" si="5"/>
        <v>0.15277339586477823</v>
      </c>
      <c r="AG27" t="s">
        <v>756</v>
      </c>
      <c r="AH27" s="10">
        <v>0.24</v>
      </c>
      <c r="AI27" s="13">
        <f t="shared" si="6"/>
        <v>3.102596220022235E-2</v>
      </c>
      <c r="AJ27" s="13">
        <f t="shared" si="7"/>
        <v>0.1781039769123807</v>
      </c>
      <c r="AK27" t="s">
        <v>756</v>
      </c>
      <c r="AL27" s="10">
        <v>0.34</v>
      </c>
      <c r="AM27" s="13">
        <f t="shared" si="8"/>
        <v>4.3953446450315001E-2</v>
      </c>
      <c r="AN27" s="13">
        <f t="shared" si="9"/>
        <v>0.19270839007369583</v>
      </c>
      <c r="AO27" t="s">
        <v>756</v>
      </c>
      <c r="AP27" s="10">
        <v>0.35</v>
      </c>
      <c r="AQ27" s="13">
        <f t="shared" si="10"/>
        <v>4.5246194875324261E-2</v>
      </c>
      <c r="AR27" s="13">
        <f t="shared" si="11"/>
        <v>0.35717882208736107</v>
      </c>
      <c r="AS27" t="s">
        <v>756</v>
      </c>
      <c r="AT27" t="str">
        <f t="shared" si="12"/>
        <v>ENERO:  FEBRERO: Avance ponderado del plan de sostenimiento del Sistema de Gestión (Plan de trabajo con avance en archivo de Excel) MARZO: Avance ponderado del plan de sostenimiento del Sistema de Gestión (Plan de trabajo con avance en archivo de Excel) ABRIL: Avance ponderado del plan de sostenimiento del Sistema de Gestión (Plan de trabajo con avance en archivo de Excel) MAYO: Avance ponderado del plan de sostenimiento del Sistema de Gestión (Plan de trabajo con avance en archivo de Excel)</v>
      </c>
      <c r="AU27" s="14">
        <f t="shared" si="13"/>
        <v>1</v>
      </c>
      <c r="AV27" s="13">
        <f t="shared" si="14"/>
        <v>0.12927484250092647</v>
      </c>
      <c r="AW27" s="13">
        <f t="shared" si="15"/>
        <v>1</v>
      </c>
      <c r="AX27" t="s">
        <v>743</v>
      </c>
      <c r="AY27" t="s">
        <v>749</v>
      </c>
      <c r="AZ27" t="s">
        <v>750</v>
      </c>
      <c r="BA27" t="s">
        <v>751</v>
      </c>
      <c r="BB27" t="s">
        <v>752</v>
      </c>
      <c r="BC27" t="s">
        <v>753</v>
      </c>
      <c r="BD27" t="str">
        <f t="shared" si="16"/>
        <v>OAJ - Implementar y operar la defensa juridica de la Entidad.OAP - Desarrollar el plan de mejoramiento y fortalecimiento del Sistema de Gestión de Calidad de la Secretaría General en la norma ISO 9001:2015OAP - Desarrollar y acompañar la ruta estratégica de la gestión institucional y promover el seguimiento a su ejecución y desempeño.OCI - Implementar y operar la política de gestión y desempeño institucional del control interno.ST -Acompañamiento a la ejecución de políticas y estrategias en el fortalecimiento y modernización de la Gestión Pública.TH - Gestionar estratégicamente el Talento Humano, la integridad y gestion del conocimiento e innovación</v>
      </c>
      <c r="BE27" t="e">
        <f>+VLOOKUP($N27,P1081_3,MATCH(BE$3,PAAC!#REF!,0),0)</f>
        <v>#NAME?</v>
      </c>
      <c r="BF27" t="e">
        <f>+VLOOKUP($N27,P1081_3,MATCH(BF$3,PAAC!#REF!,0),0)</f>
        <v>#NAME?</v>
      </c>
      <c r="BG27" t="e">
        <f>+VLOOKUP($N27,P1081_3,MATCH(BG$3,PAAC!#REF!,0),0)</f>
        <v>#NAME?</v>
      </c>
      <c r="BH27" t="e">
        <f>+VLOOKUP($N27,P1081_3,MATCH(BH$3,PAAC!#REF!,0),0)</f>
        <v>#NAME?</v>
      </c>
      <c r="BI27" t="e">
        <f>+VLOOKUP($N27,P1081_3,MATCH(BI$3,PAAC!#REF!,0),0)</f>
        <v>#NAME?</v>
      </c>
      <c r="BJ27" t="str">
        <f t="shared" si="17"/>
        <v/>
      </c>
    </row>
    <row r="28" spans="1:62" x14ac:dyDescent="0.3">
      <c r="A28" t="s">
        <v>737</v>
      </c>
      <c r="B28">
        <v>1125</v>
      </c>
      <c r="C28" t="s">
        <v>86</v>
      </c>
      <c r="D28">
        <v>21</v>
      </c>
      <c r="E28" t="s">
        <v>738</v>
      </c>
      <c r="F28" t="s">
        <v>596</v>
      </c>
      <c r="G28" t="s">
        <v>669</v>
      </c>
      <c r="H28" t="s">
        <v>105</v>
      </c>
      <c r="I28" t="s">
        <v>739</v>
      </c>
      <c r="J28" t="s">
        <v>740</v>
      </c>
      <c r="K28" t="s">
        <v>741</v>
      </c>
      <c r="L28" t="s">
        <v>601</v>
      </c>
      <c r="M28" t="s">
        <v>602</v>
      </c>
      <c r="N28" t="str">
        <f t="shared" si="0"/>
        <v>152E_3</v>
      </c>
      <c r="O28" s="13">
        <v>1</v>
      </c>
      <c r="P28" s="13">
        <v>1</v>
      </c>
      <c r="Q28">
        <v>3</v>
      </c>
      <c r="R28" t="s">
        <v>757</v>
      </c>
      <c r="S28" t="s">
        <v>750</v>
      </c>
      <c r="T28" t="s">
        <v>758</v>
      </c>
      <c r="U28" s="13">
        <v>5.7634023284593411E-2</v>
      </c>
      <c r="V28" s="13">
        <f t="shared" si="1"/>
        <v>0.19064533776708156</v>
      </c>
      <c r="W28" s="13">
        <f t="shared" si="19"/>
        <v>0.30231016378174963</v>
      </c>
      <c r="X28" s="9">
        <v>43862</v>
      </c>
      <c r="Y28" s="9">
        <v>43981</v>
      </c>
      <c r="Z28" s="10">
        <v>0</v>
      </c>
      <c r="AA28" s="13">
        <f t="shared" si="2"/>
        <v>0</v>
      </c>
      <c r="AB28" s="13">
        <f t="shared" si="3"/>
        <v>0.11923541506178414</v>
      </c>
      <c r="AD28" s="10">
        <v>0.25</v>
      </c>
      <c r="AE28" s="13">
        <f t="shared" si="4"/>
        <v>7.5577540945437408E-2</v>
      </c>
      <c r="AF28" s="13">
        <f t="shared" si="5"/>
        <v>0.15277339586477823</v>
      </c>
      <c r="AG28">
        <v>0</v>
      </c>
      <c r="AH28" s="10">
        <v>0.25</v>
      </c>
      <c r="AI28" s="13">
        <f t="shared" si="6"/>
        <v>7.5577540945437408E-2</v>
      </c>
      <c r="AJ28" s="13">
        <f t="shared" si="7"/>
        <v>0.1781039769123807</v>
      </c>
      <c r="AK28" t="s">
        <v>759</v>
      </c>
      <c r="AL28" s="10">
        <v>0.25</v>
      </c>
      <c r="AM28" s="13">
        <f t="shared" si="8"/>
        <v>7.5577540945437408E-2</v>
      </c>
      <c r="AN28" s="13">
        <f t="shared" si="9"/>
        <v>0.19270839007369583</v>
      </c>
      <c r="AO28" t="s">
        <v>760</v>
      </c>
      <c r="AP28" s="10">
        <v>0.25</v>
      </c>
      <c r="AQ28" s="13">
        <f t="shared" si="10"/>
        <v>7.5577540945437408E-2</v>
      </c>
      <c r="AR28" s="13">
        <f t="shared" si="11"/>
        <v>0.35717882208736107</v>
      </c>
      <c r="AS28" t="s">
        <v>760</v>
      </c>
      <c r="AT28" t="str">
        <f t="shared" si="12"/>
        <v xml:space="preserve">ENERO:  FEBRERO: 0 MARZO: Esta actividad refleja el acompañamiento y seguimiento presupuestal y de magnitudes de los proyectos de inversión de la Entidad. _x000D_
Soportes: _x000D_
Informe en excel de plan anual de adquisiciones_x000D_
Informe en excel de ejecución de reservas y vigencia presupuestal _x000D_
Consolidado en excel del Plan de acción para los 9 proyectos de inversión de la Entidad ABRIL: Informe final con los siguientes temas:
Esta actividad refleja el acompañamiento y seguimiento presupuestal y de magnitudes de los proyectos de inversión de la Entidad. 
Soportes: 
Informe en excel de plan anual de adquisiciones
Informe en excel de ejecución de reservas y vigencia presupuestal  MAYO: Informe final con los siguientes temas:
Esta actividad refleja el acompañamiento y seguimiento presupuestal y de magnitudes de los proyectos de inversión de la Entidad. 
Soportes: 
Informe en excel de plan anual de adquisiciones
Informe en excel de ejecución de reservas y vigencia presupuestal </v>
      </c>
      <c r="AU28" s="14">
        <f t="shared" si="13"/>
        <v>1</v>
      </c>
      <c r="AV28" s="13">
        <f t="shared" si="14"/>
        <v>0.30231016378174963</v>
      </c>
      <c r="AW28" s="13">
        <f t="shared" si="15"/>
        <v>1</v>
      </c>
      <c r="AX28" t="s">
        <v>743</v>
      </c>
      <c r="AY28" t="s">
        <v>749</v>
      </c>
      <c r="AZ28" t="s">
        <v>750</v>
      </c>
      <c r="BA28" t="s">
        <v>751</v>
      </c>
      <c r="BB28" t="s">
        <v>752</v>
      </c>
      <c r="BC28" t="s">
        <v>753</v>
      </c>
      <c r="BD28" t="str">
        <f t="shared" si="16"/>
        <v>OAJ - Implementar y operar la defensa juridica de la Entidad.OAP - Desarrollar el plan de mejoramiento y fortalecimiento del Sistema de Gestión de Calidad de la Secretaría General en la norma ISO 9001:2015OAP - Desarrollar y acompañar la ruta estratégica de la gestión institucional y promover el seguimiento a su ejecución y desempeño.OCI - Implementar y operar la política de gestión y desempeño institucional del control interno.ST -Acompañamiento a la ejecución de políticas y estrategias en el fortalecimiento y modernización de la Gestión Pública.TH - Gestionar estratégicamente el Talento Humano, la integridad y gestion del conocimiento e innovación</v>
      </c>
      <c r="BE28" t="e">
        <f>+VLOOKUP($N28,P1081_3,MATCH(BE$3,PAAC!#REF!,0),0)</f>
        <v>#NAME?</v>
      </c>
      <c r="BF28" t="e">
        <f>+VLOOKUP($N28,P1081_3,MATCH(BF$3,PAAC!#REF!,0),0)</f>
        <v>#NAME?</v>
      </c>
      <c r="BG28" t="e">
        <f>+VLOOKUP($N28,P1081_3,MATCH(BG$3,PAAC!#REF!,0),0)</f>
        <v>#NAME?</v>
      </c>
      <c r="BH28" t="e">
        <f>+VLOOKUP($N28,P1081_3,MATCH(BH$3,PAAC!#REF!,0),0)</f>
        <v>#NAME?</v>
      </c>
      <c r="BI28" t="e">
        <f>+VLOOKUP($N28,P1081_3,MATCH(BI$3,PAAC!#REF!,0),0)</f>
        <v>#NAME?</v>
      </c>
      <c r="BJ28" t="str">
        <f t="shared" si="17"/>
        <v/>
      </c>
    </row>
    <row r="29" spans="1:62" x14ac:dyDescent="0.3">
      <c r="A29" t="s">
        <v>737</v>
      </c>
      <c r="B29">
        <v>1125</v>
      </c>
      <c r="C29" t="s">
        <v>86</v>
      </c>
      <c r="D29">
        <v>21</v>
      </c>
      <c r="E29" t="s">
        <v>738</v>
      </c>
      <c r="F29" t="s">
        <v>596</v>
      </c>
      <c r="G29" t="s">
        <v>669</v>
      </c>
      <c r="H29" t="s">
        <v>105</v>
      </c>
      <c r="I29" t="s">
        <v>739</v>
      </c>
      <c r="J29" t="s">
        <v>740</v>
      </c>
      <c r="K29" t="s">
        <v>741</v>
      </c>
      <c r="L29" t="s">
        <v>601</v>
      </c>
      <c r="M29" t="s">
        <v>602</v>
      </c>
      <c r="N29" t="str">
        <f t="shared" si="0"/>
        <v>152E_4</v>
      </c>
      <c r="O29" s="13">
        <v>1</v>
      </c>
      <c r="P29" s="13">
        <v>1</v>
      </c>
      <c r="Q29">
        <v>4</v>
      </c>
      <c r="R29" t="s">
        <v>761</v>
      </c>
      <c r="S29" t="s">
        <v>751</v>
      </c>
      <c r="T29" t="s">
        <v>762</v>
      </c>
      <c r="U29" s="13">
        <v>6.3939735738279225E-3</v>
      </c>
      <c r="V29" s="13">
        <f t="shared" si="1"/>
        <v>0.19064533776708156</v>
      </c>
      <c r="W29" s="13">
        <f t="shared" si="19"/>
        <v>3.3538578224449819E-2</v>
      </c>
      <c r="X29" s="9">
        <v>43861</v>
      </c>
      <c r="Y29" s="9">
        <v>43981</v>
      </c>
      <c r="Z29" s="10">
        <v>0.05</v>
      </c>
      <c r="AA29" s="13">
        <f t="shared" si="2"/>
        <v>1.676928911222491E-3</v>
      </c>
      <c r="AB29" s="13">
        <f t="shared" si="3"/>
        <v>0.11923541506178414</v>
      </c>
      <c r="AC29" t="s">
        <v>763</v>
      </c>
      <c r="AD29" s="10">
        <v>0.15</v>
      </c>
      <c r="AE29" s="13">
        <f t="shared" si="4"/>
        <v>5.0307867336674729E-3</v>
      </c>
      <c r="AF29" s="13">
        <f t="shared" si="5"/>
        <v>0.15277339586477823</v>
      </c>
      <c r="AG29" t="s">
        <v>764</v>
      </c>
      <c r="AH29" s="10">
        <v>0.25</v>
      </c>
      <c r="AI29" s="13">
        <f t="shared" si="6"/>
        <v>8.3846445561124548E-3</v>
      </c>
      <c r="AJ29" s="13">
        <f t="shared" si="7"/>
        <v>0.1781039769123807</v>
      </c>
      <c r="AK29" t="s">
        <v>765</v>
      </c>
      <c r="AL29" s="10">
        <v>0.3</v>
      </c>
      <c r="AM29" s="13">
        <f t="shared" si="8"/>
        <v>1.0061573467334946E-2</v>
      </c>
      <c r="AN29" s="13">
        <f t="shared" si="9"/>
        <v>0.19270839007369583</v>
      </c>
      <c r="AO29" t="s">
        <v>766</v>
      </c>
      <c r="AP29" s="10">
        <v>0.25</v>
      </c>
      <c r="AQ29" s="13">
        <f t="shared" si="10"/>
        <v>8.3846445561124548E-3</v>
      </c>
      <c r="AR29" s="13">
        <f t="shared" si="11"/>
        <v>0.35717882208736107</v>
      </c>
      <c r="AS29" t="s">
        <v>766</v>
      </c>
      <c r="AT29" t="str">
        <f t="shared" si="12"/>
        <v>ENERO: Definición de trabajos de auditoria para el Plan Anual de Auditorias de la Vigencia 2020 FEBRERO: 1) Apoyo y revisión Manual de Usuario herramienta Planes de mejoramiento.
2) Planeación e inicio de evaluación al Sistema de Control Interno de la Información mediante el uso de software y derechos de autor.
3) Actualización de la matriz de seguimiento de Planes de mejoramiento internos  para el fortalecimiento del Sistema de Control Interno de las dependencias OTIC, DDAB, SSA.
4) Capacitación y apoyo sobre el manejo de la Herramienta Planes de Mejoramiento. MARZO: 1) Finalización pruebas de auditoria sobre uso de software y  Derechos de Autor
2) Presentación de Informe de  evaluación al Sistema de Control Interno del uso de software y  Derechos de Autor
3) Reporte Derechos de Autor según Circular 17 de 2011 de la Dirección Nacional de Derechos de Autor
4) Actualización de la matriz de seguimiento de Planes de mejoramiento internos  para el fortalecimiento del Sistema de Control Interno de las dependencias OTIC, DDAB, SSA.
5) Planeación de la Evaluación Independiente sobre el control del Sistema Información Victimas del Distrito Capital -SIVIC
6) Capacitación y apoyo sobre el manejo de la herramienta Planes de Mejoramiento para el fortalecimiento del control interno de la Dependencias ABRIL: Informe final con los siguientes temas:
1) Ejecución de pruebas de la evaluación independiente sobre el control del Sistema Información Victimas del Distrito Capital -SIVIC.
2) Seguimiento de Planes de mejoramiento internos  para el fortalecimiento del Sistema de Control Interno de las dependencias OTIC, DDAB, SSA.
3) Apoyo en la implementación de la herramienta Planes de Mejoramiento para el fortalecimiento del control interno de la Dependencias de la Entidad MAYO: Informe final con los siguientes temas:
1) Ejecución de pruebas de la evaluación independiente sobre el control del Sistema Información Victimas del Distrito Capital -SIVIC.
2) Seguimiento de Planes de mejoramiento internos  para el fortalecimiento del Sistema de Control Interno de las dependencias OTIC, DDAB, SSA.
3) Apoyo en la implementación de la herramienta Planes de Mejoramiento para el fortalecimiento del control interno de la Dependencias de la Entidad</v>
      </c>
      <c r="AU29" s="14">
        <f t="shared" si="13"/>
        <v>1</v>
      </c>
      <c r="AV29" s="13">
        <f t="shared" si="14"/>
        <v>3.3538578224449819E-2</v>
      </c>
      <c r="AW29" s="13">
        <f t="shared" si="15"/>
        <v>1</v>
      </c>
      <c r="AX29" t="s">
        <v>743</v>
      </c>
      <c r="AY29" t="s">
        <v>749</v>
      </c>
      <c r="AZ29" t="s">
        <v>750</v>
      </c>
      <c r="BA29" t="s">
        <v>751</v>
      </c>
      <c r="BB29" t="s">
        <v>752</v>
      </c>
      <c r="BC29" t="s">
        <v>753</v>
      </c>
      <c r="BD29" t="str">
        <f t="shared" si="16"/>
        <v>OAJ - Implementar y operar la defensa juridica de la Entidad.OAP - Desarrollar el plan de mejoramiento y fortalecimiento del Sistema de Gestión de Calidad de la Secretaría General en la norma ISO 9001:2015OAP - Desarrollar y acompañar la ruta estratégica de la gestión institucional y promover el seguimiento a su ejecución y desempeño.OCI - Implementar y operar la política de gestión y desempeño institucional del control interno.ST -Acompañamiento a la ejecución de políticas y estrategias en el fortalecimiento y modernización de la Gestión Pública.TH - Gestionar estratégicamente el Talento Humano, la integridad y gestion del conocimiento e innovación</v>
      </c>
      <c r="BE29" t="e">
        <f>+VLOOKUP($N29,P1081_3,MATCH(BE$3,PAAC!#REF!,0),0)</f>
        <v>#NAME?</v>
      </c>
      <c r="BF29" t="e">
        <f>+VLOOKUP($N29,P1081_3,MATCH(BF$3,PAAC!#REF!,0),0)</f>
        <v>#NAME?</v>
      </c>
      <c r="BG29" t="e">
        <f>+VLOOKUP($N29,P1081_3,MATCH(BG$3,PAAC!#REF!,0),0)</f>
        <v>#NAME?</v>
      </c>
      <c r="BH29" t="e">
        <f>+VLOOKUP($N29,P1081_3,MATCH(BH$3,PAAC!#REF!,0),0)</f>
        <v>#NAME?</v>
      </c>
      <c r="BI29" t="e">
        <f>+VLOOKUP($N29,P1081_3,MATCH(BI$3,PAAC!#REF!,0),0)</f>
        <v>#NAME?</v>
      </c>
      <c r="BJ29" t="str">
        <f t="shared" si="17"/>
        <v/>
      </c>
    </row>
    <row r="30" spans="1:62" x14ac:dyDescent="0.3">
      <c r="A30" t="s">
        <v>737</v>
      </c>
      <c r="B30">
        <v>1125</v>
      </c>
      <c r="C30" t="s">
        <v>86</v>
      </c>
      <c r="D30">
        <v>21</v>
      </c>
      <c r="E30" t="s">
        <v>738</v>
      </c>
      <c r="F30" t="s">
        <v>596</v>
      </c>
      <c r="G30" t="s">
        <v>669</v>
      </c>
      <c r="H30" t="s">
        <v>105</v>
      </c>
      <c r="I30" t="s">
        <v>739</v>
      </c>
      <c r="J30" t="s">
        <v>740</v>
      </c>
      <c r="K30" t="s">
        <v>741</v>
      </c>
      <c r="L30" t="s">
        <v>601</v>
      </c>
      <c r="M30" t="s">
        <v>602</v>
      </c>
      <c r="N30" t="str">
        <f t="shared" si="0"/>
        <v>152E_5</v>
      </c>
      <c r="O30" s="13">
        <v>1</v>
      </c>
      <c r="P30" s="13">
        <v>1</v>
      </c>
      <c r="Q30">
        <v>5</v>
      </c>
      <c r="R30" t="s">
        <v>767</v>
      </c>
      <c r="S30" t="s">
        <v>752</v>
      </c>
      <c r="T30" t="s">
        <v>768</v>
      </c>
      <c r="U30" s="13">
        <v>3.1428763282500674E-2</v>
      </c>
      <c r="V30" s="13">
        <f t="shared" si="1"/>
        <v>0.19064533776708156</v>
      </c>
      <c r="W30" s="13">
        <f t="shared" si="19"/>
        <v>0.16485461249987846</v>
      </c>
      <c r="X30" s="9">
        <v>0</v>
      </c>
      <c r="Y30" s="9">
        <v>0</v>
      </c>
      <c r="Z30" s="10">
        <v>0</v>
      </c>
      <c r="AA30" s="13">
        <f t="shared" si="2"/>
        <v>0</v>
      </c>
      <c r="AB30" s="13">
        <f t="shared" si="3"/>
        <v>0.11923541506178414</v>
      </c>
      <c r="AC30">
        <v>0</v>
      </c>
      <c r="AD30" s="10">
        <v>0</v>
      </c>
      <c r="AE30" s="13">
        <f t="shared" si="4"/>
        <v>0</v>
      </c>
      <c r="AF30" s="13">
        <f t="shared" si="5"/>
        <v>0.15277339586477823</v>
      </c>
      <c r="AG30">
        <v>0</v>
      </c>
      <c r="AH30" s="10">
        <v>0</v>
      </c>
      <c r="AI30" s="13">
        <f t="shared" si="6"/>
        <v>0</v>
      </c>
      <c r="AJ30" s="13">
        <f t="shared" si="7"/>
        <v>0.1781039769123807</v>
      </c>
      <c r="AK30">
        <v>0</v>
      </c>
      <c r="AL30" s="10">
        <v>0</v>
      </c>
      <c r="AM30" s="13">
        <f t="shared" si="8"/>
        <v>0</v>
      </c>
      <c r="AN30" s="13">
        <f t="shared" si="9"/>
        <v>0.19270839007369583</v>
      </c>
      <c r="AO30">
        <v>0</v>
      </c>
      <c r="AP30" s="10">
        <v>1</v>
      </c>
      <c r="AQ30" s="13">
        <f t="shared" si="10"/>
        <v>0.16485461249987846</v>
      </c>
      <c r="AR30" s="13">
        <f t="shared" si="11"/>
        <v>0.35717882208736107</v>
      </c>
      <c r="AS30">
        <v>0</v>
      </c>
      <c r="AT30" t="str">
        <f t="shared" si="12"/>
        <v>ENERO: 0 FEBRERO: 0 MARZO: 0 ABRIL: 0 MAYO: 0</v>
      </c>
      <c r="AU30" s="14">
        <f t="shared" si="13"/>
        <v>1</v>
      </c>
      <c r="AV30" s="13">
        <f t="shared" si="14"/>
        <v>0.16485461249987846</v>
      </c>
      <c r="AW30" s="13">
        <f t="shared" si="15"/>
        <v>1</v>
      </c>
      <c r="AX30" t="s">
        <v>743</v>
      </c>
      <c r="AY30" t="s">
        <v>749</v>
      </c>
      <c r="AZ30" t="s">
        <v>750</v>
      </c>
      <c r="BA30" t="s">
        <v>751</v>
      </c>
      <c r="BB30" t="s">
        <v>752</v>
      </c>
      <c r="BC30" t="s">
        <v>753</v>
      </c>
      <c r="BD30" t="str">
        <f t="shared" si="16"/>
        <v>OAJ - Implementar y operar la defensa juridica de la Entidad.OAP - Desarrollar el plan de mejoramiento y fortalecimiento del Sistema de Gestión de Calidad de la Secretaría General en la norma ISO 9001:2015OAP - Desarrollar y acompañar la ruta estratégica de la gestión institucional y promover el seguimiento a su ejecución y desempeño.OCI - Implementar y operar la política de gestión y desempeño institucional del control interno.ST -Acompañamiento a la ejecución de políticas y estrategias en el fortalecimiento y modernización de la Gestión Pública.TH - Gestionar estratégicamente el Talento Humano, la integridad y gestion del conocimiento e innovación</v>
      </c>
      <c r="BE30" t="e">
        <f>+VLOOKUP($N30,P1081_3,MATCH(BE$3,PAAC!#REF!,0),0)</f>
        <v>#NAME?</v>
      </c>
      <c r="BF30" t="e">
        <f>+VLOOKUP($N30,P1081_3,MATCH(BF$3,PAAC!#REF!,0),0)</f>
        <v>#NAME?</v>
      </c>
      <c r="BG30" t="e">
        <f>+VLOOKUP($N30,P1081_3,MATCH(BG$3,PAAC!#REF!,0),0)</f>
        <v>#NAME?</v>
      </c>
      <c r="BH30" t="e">
        <f>+VLOOKUP($N30,P1081_3,MATCH(BH$3,PAAC!#REF!,0),0)</f>
        <v>#NAME?</v>
      </c>
      <c r="BI30" t="e">
        <f>+VLOOKUP($N30,P1081_3,MATCH(BI$3,PAAC!#REF!,0),0)</f>
        <v>#NAME?</v>
      </c>
      <c r="BJ30" t="str">
        <f t="shared" si="17"/>
        <v/>
      </c>
    </row>
    <row r="31" spans="1:62" x14ac:dyDescent="0.3">
      <c r="A31" t="s">
        <v>737</v>
      </c>
      <c r="B31">
        <v>1125</v>
      </c>
      <c r="C31" t="s">
        <v>86</v>
      </c>
      <c r="D31">
        <v>21</v>
      </c>
      <c r="E31" t="s">
        <v>738</v>
      </c>
      <c r="F31" t="s">
        <v>596</v>
      </c>
      <c r="G31" t="s">
        <v>669</v>
      </c>
      <c r="H31" t="s">
        <v>105</v>
      </c>
      <c r="I31" t="s">
        <v>739</v>
      </c>
      <c r="J31" t="s">
        <v>740</v>
      </c>
      <c r="K31" t="s">
        <v>741</v>
      </c>
      <c r="L31" t="s">
        <v>601</v>
      </c>
      <c r="M31" t="s">
        <v>602</v>
      </c>
      <c r="N31" t="str">
        <f t="shared" si="0"/>
        <v>152E_6</v>
      </c>
      <c r="O31" s="13">
        <v>1</v>
      </c>
      <c r="P31" s="13">
        <v>1</v>
      </c>
      <c r="Q31">
        <v>6</v>
      </c>
      <c r="R31" t="s">
        <v>769</v>
      </c>
      <c r="S31" t="s">
        <v>753</v>
      </c>
      <c r="T31" t="s">
        <v>770</v>
      </c>
      <c r="U31" s="13">
        <v>1.037923872125472E-2</v>
      </c>
      <c r="V31" s="13">
        <f t="shared" si="1"/>
        <v>0.19064533776708156</v>
      </c>
      <c r="W31" s="13">
        <f t="shared" si="19"/>
        <v>5.444265693995317E-2</v>
      </c>
      <c r="X31" s="9">
        <v>43831</v>
      </c>
      <c r="Y31" s="9">
        <v>43981</v>
      </c>
      <c r="Z31" s="10">
        <v>1</v>
      </c>
      <c r="AA31" s="13">
        <f t="shared" si="2"/>
        <v>5.444265693995317E-2</v>
      </c>
      <c r="AB31" s="13">
        <f t="shared" si="3"/>
        <v>0.11923541506178414</v>
      </c>
      <c r="AC31" t="s">
        <v>771</v>
      </c>
      <c r="AD31" s="10">
        <v>0</v>
      </c>
      <c r="AE31" s="13">
        <f t="shared" si="4"/>
        <v>0</v>
      </c>
      <c r="AF31" s="13">
        <f t="shared" si="5"/>
        <v>0.15277339586477823</v>
      </c>
      <c r="AG31">
        <v>0</v>
      </c>
      <c r="AH31" s="10">
        <v>0</v>
      </c>
      <c r="AI31" s="13">
        <f t="shared" si="6"/>
        <v>0</v>
      </c>
      <c r="AJ31" s="13">
        <f t="shared" si="7"/>
        <v>0.1781039769123807</v>
      </c>
      <c r="AK31">
        <v>0</v>
      </c>
      <c r="AL31" s="10">
        <v>0</v>
      </c>
      <c r="AM31" s="13">
        <f t="shared" si="8"/>
        <v>0</v>
      </c>
      <c r="AN31" s="13">
        <f t="shared" si="9"/>
        <v>0.19270839007369583</v>
      </c>
      <c r="AO31">
        <v>0</v>
      </c>
      <c r="AP31" s="10">
        <v>0</v>
      </c>
      <c r="AQ31" s="13">
        <f t="shared" si="10"/>
        <v>0</v>
      </c>
      <c r="AR31" s="13">
        <f t="shared" si="11"/>
        <v>0.35717882208736107</v>
      </c>
      <c r="AS31">
        <v>0</v>
      </c>
      <c r="AT31" t="str">
        <f t="shared" si="12"/>
        <v>ENERO: Plan estrategico de Talento Humano, aprobado y publicado. (http://intranet/wp-content/uploads/2020/02/Resolucio%CC%81n-063-de-2020-1.pdf) FEBRERO: 0 MARZO: 0 ABRIL: 0 MAYO: 0</v>
      </c>
      <c r="AU31" s="14">
        <f t="shared" si="13"/>
        <v>1</v>
      </c>
      <c r="AV31" s="13">
        <f t="shared" si="14"/>
        <v>5.444265693995317E-2</v>
      </c>
      <c r="AW31" s="13">
        <f t="shared" si="15"/>
        <v>1</v>
      </c>
      <c r="AX31" t="s">
        <v>743</v>
      </c>
      <c r="AY31" t="s">
        <v>749</v>
      </c>
      <c r="AZ31" t="s">
        <v>750</v>
      </c>
      <c r="BA31" t="s">
        <v>751</v>
      </c>
      <c r="BB31" t="s">
        <v>752</v>
      </c>
      <c r="BC31" t="s">
        <v>753</v>
      </c>
      <c r="BD31" t="str">
        <f t="shared" si="16"/>
        <v>OAJ - Implementar y operar la defensa juridica de la Entidad.OAP - Desarrollar el plan de mejoramiento y fortalecimiento del Sistema de Gestión de Calidad de la Secretaría General en la norma ISO 9001:2015OAP - Desarrollar y acompañar la ruta estratégica de la gestión institucional y promover el seguimiento a su ejecución y desempeño.OCI - Implementar y operar la política de gestión y desempeño institucional del control interno.ST -Acompañamiento a la ejecución de políticas y estrategias en el fortalecimiento y modernización de la Gestión Pública.TH - Gestionar estratégicamente el Talento Humano, la integridad y gestion del conocimiento e innovación</v>
      </c>
      <c r="BE31" t="e">
        <f>+VLOOKUP($N31,P1081_3,MATCH(BE$3,PAAC!#REF!,0),0)</f>
        <v>#NAME?</v>
      </c>
      <c r="BF31" t="e">
        <f>+VLOOKUP($N31,P1081_3,MATCH(BF$3,PAAC!#REF!,0),0)</f>
        <v>#NAME?</v>
      </c>
      <c r="BG31" t="e">
        <f>+VLOOKUP($N31,P1081_3,MATCH(BG$3,PAAC!#REF!,0),0)</f>
        <v>#NAME?</v>
      </c>
      <c r="BH31" t="e">
        <f>+VLOOKUP($N31,P1081_3,MATCH(BH$3,PAAC!#REF!,0),0)</f>
        <v>#NAME?</v>
      </c>
      <c r="BI31" t="e">
        <f>+VLOOKUP($N31,P1081_3,MATCH(BI$3,PAAC!#REF!,0),0)</f>
        <v>#NAME?</v>
      </c>
      <c r="BJ31" t="str">
        <f t="shared" si="17"/>
        <v/>
      </c>
    </row>
    <row r="32" spans="1:62" x14ac:dyDescent="0.3">
      <c r="A32" t="s">
        <v>772</v>
      </c>
      <c r="B32">
        <v>1125</v>
      </c>
      <c r="C32" t="s">
        <v>86</v>
      </c>
      <c r="D32">
        <v>10</v>
      </c>
      <c r="E32" t="s">
        <v>773</v>
      </c>
      <c r="F32" t="s">
        <v>596</v>
      </c>
      <c r="G32" t="s">
        <v>669</v>
      </c>
      <c r="H32" t="s">
        <v>111</v>
      </c>
      <c r="I32" t="s">
        <v>774</v>
      </c>
      <c r="J32" t="s">
        <v>775</v>
      </c>
      <c r="K32" t="s">
        <v>776</v>
      </c>
      <c r="L32" t="s">
        <v>601</v>
      </c>
      <c r="M32" t="s">
        <v>602</v>
      </c>
      <c r="N32" t="str">
        <f t="shared" si="0"/>
        <v>42B_1</v>
      </c>
      <c r="O32" s="13">
        <v>1</v>
      </c>
      <c r="P32" s="13">
        <v>1</v>
      </c>
      <c r="Q32">
        <v>1</v>
      </c>
      <c r="R32" t="s">
        <v>777</v>
      </c>
      <c r="S32" t="s">
        <v>778</v>
      </c>
      <c r="T32" t="s">
        <v>42</v>
      </c>
      <c r="U32" s="13">
        <v>0</v>
      </c>
      <c r="V32" s="13">
        <f t="shared" si="1"/>
        <v>8.1701746117929908E-2</v>
      </c>
      <c r="W32" s="13">
        <f t="shared" si="19"/>
        <v>0</v>
      </c>
      <c r="X32" s="9">
        <v>0</v>
      </c>
      <c r="Y32" s="9">
        <v>0</v>
      </c>
      <c r="Z32" s="10">
        <v>0</v>
      </c>
      <c r="AA32" s="13">
        <f t="shared" si="2"/>
        <v>0</v>
      </c>
      <c r="AB32" s="13">
        <f t="shared" si="3"/>
        <v>0</v>
      </c>
      <c r="AC32">
        <v>0</v>
      </c>
      <c r="AD32" s="10">
        <v>0</v>
      </c>
      <c r="AE32" s="13">
        <f t="shared" si="4"/>
        <v>0</v>
      </c>
      <c r="AF32" s="13">
        <f t="shared" si="5"/>
        <v>0.04</v>
      </c>
      <c r="AG32">
        <v>0</v>
      </c>
      <c r="AH32" s="10">
        <v>0</v>
      </c>
      <c r="AI32" s="13">
        <f t="shared" si="6"/>
        <v>0</v>
      </c>
      <c r="AJ32" s="13">
        <f t="shared" si="7"/>
        <v>0.12</v>
      </c>
      <c r="AK32">
        <v>0</v>
      </c>
      <c r="AL32" s="10">
        <v>0</v>
      </c>
      <c r="AM32" s="13">
        <f t="shared" si="8"/>
        <v>0</v>
      </c>
      <c r="AN32" s="13">
        <f t="shared" si="9"/>
        <v>0.41</v>
      </c>
      <c r="AO32">
        <v>0</v>
      </c>
      <c r="AP32" s="10">
        <v>0</v>
      </c>
      <c r="AQ32" s="13">
        <f t="shared" si="10"/>
        <v>0</v>
      </c>
      <c r="AR32" s="13">
        <f t="shared" si="11"/>
        <v>0.43</v>
      </c>
      <c r="AS32">
        <v>0</v>
      </c>
      <c r="AT32" t="str">
        <f t="shared" si="12"/>
        <v>ENERO: 0 FEBRERO: 0 MARZO: 0 ABRIL: 0 MAYO: 0</v>
      </c>
      <c r="AU32" s="14">
        <f t="shared" si="13"/>
        <v>0</v>
      </c>
      <c r="AV32" s="13">
        <f t="shared" si="14"/>
        <v>0</v>
      </c>
      <c r="AW32" s="13">
        <f t="shared" si="15"/>
        <v>1</v>
      </c>
      <c r="AX32" t="s">
        <v>778</v>
      </c>
      <c r="AY32" t="s">
        <v>779</v>
      </c>
      <c r="AZ32" t="s">
        <v>780</v>
      </c>
      <c r="BD32" t="str">
        <f t="shared" si="16"/>
        <v>Adquirir y poner en funcionamiento 6 maquinas para la Imprenta DistritalContratar servicios técnicos para la operación de la maquinaria de la Imprenta DistritalDesarrollar acciones  para la  adecuación, conservación, modernización, divulgación y fortalecimiento de la Imprenta Distrital, tanto en su infraestructura física, tecnologíca y logística como en su portafolio de servicios.</v>
      </c>
      <c r="BE32" t="e">
        <f>+VLOOKUP($N32,P1081_3,MATCH(BE$3,PAAC!#REF!,0),0)</f>
        <v>#NAME?</v>
      </c>
      <c r="BF32" t="e">
        <f>+VLOOKUP($N32,P1081_3,MATCH(BF$3,PAAC!#REF!,0),0)</f>
        <v>#NAME?</v>
      </c>
      <c r="BG32" t="e">
        <f>+VLOOKUP($N32,P1081_3,MATCH(BG$3,PAAC!#REF!,0),0)</f>
        <v>#NAME?</v>
      </c>
      <c r="BH32" t="e">
        <f>+VLOOKUP($N32,P1081_3,MATCH(BH$3,PAAC!#REF!,0),0)</f>
        <v>#NAME?</v>
      </c>
      <c r="BI32" t="e">
        <f>+VLOOKUP($N32,P1081_3,MATCH(BI$3,PAAC!#REF!,0),0)</f>
        <v>#NAME?</v>
      </c>
      <c r="BJ32" t="str">
        <f t="shared" si="17"/>
        <v/>
      </c>
    </row>
    <row r="33" spans="1:62" x14ac:dyDescent="0.3">
      <c r="A33" t="s">
        <v>772</v>
      </c>
      <c r="B33">
        <v>1125</v>
      </c>
      <c r="C33" t="s">
        <v>86</v>
      </c>
      <c r="D33">
        <v>10</v>
      </c>
      <c r="E33" t="s">
        <v>773</v>
      </c>
      <c r="F33" t="s">
        <v>596</v>
      </c>
      <c r="G33" t="s">
        <v>669</v>
      </c>
      <c r="H33" t="s">
        <v>111</v>
      </c>
      <c r="I33" t="s">
        <v>774</v>
      </c>
      <c r="J33" t="s">
        <v>775</v>
      </c>
      <c r="K33" t="s">
        <v>776</v>
      </c>
      <c r="L33" t="s">
        <v>601</v>
      </c>
      <c r="M33" t="s">
        <v>602</v>
      </c>
      <c r="N33" t="str">
        <f t="shared" si="0"/>
        <v>42B_2</v>
      </c>
      <c r="O33" s="13">
        <v>1</v>
      </c>
      <c r="P33" s="13">
        <v>1</v>
      </c>
      <c r="Q33">
        <v>2</v>
      </c>
      <c r="R33" t="s">
        <v>781</v>
      </c>
      <c r="S33" t="s">
        <v>779</v>
      </c>
      <c r="T33" t="s">
        <v>42</v>
      </c>
      <c r="U33" s="13">
        <v>0</v>
      </c>
      <c r="V33" s="13">
        <f t="shared" si="1"/>
        <v>8.1701746117929908E-2</v>
      </c>
      <c r="W33" s="13">
        <f t="shared" si="19"/>
        <v>0</v>
      </c>
      <c r="X33" s="9">
        <v>0</v>
      </c>
      <c r="Y33" s="9">
        <v>0</v>
      </c>
      <c r="Z33" s="10">
        <v>0</v>
      </c>
      <c r="AA33" s="13">
        <f t="shared" si="2"/>
        <v>0</v>
      </c>
      <c r="AB33" s="13">
        <f t="shared" si="3"/>
        <v>0</v>
      </c>
      <c r="AC33">
        <v>0</v>
      </c>
      <c r="AD33" s="10">
        <v>0</v>
      </c>
      <c r="AE33" s="13">
        <f t="shared" si="4"/>
        <v>0</v>
      </c>
      <c r="AF33" s="13">
        <f t="shared" si="5"/>
        <v>0.04</v>
      </c>
      <c r="AG33">
        <v>0</v>
      </c>
      <c r="AH33" s="10">
        <v>0</v>
      </c>
      <c r="AI33" s="13">
        <f t="shared" si="6"/>
        <v>0</v>
      </c>
      <c r="AJ33" s="13">
        <f t="shared" si="7"/>
        <v>0.12</v>
      </c>
      <c r="AK33">
        <v>0</v>
      </c>
      <c r="AL33" s="10">
        <v>0</v>
      </c>
      <c r="AM33" s="13">
        <f t="shared" si="8"/>
        <v>0</v>
      </c>
      <c r="AN33" s="13">
        <f t="shared" si="9"/>
        <v>0.41</v>
      </c>
      <c r="AO33">
        <v>0</v>
      </c>
      <c r="AP33" s="10">
        <v>0</v>
      </c>
      <c r="AQ33" s="13">
        <f t="shared" si="10"/>
        <v>0</v>
      </c>
      <c r="AR33" s="13">
        <f t="shared" si="11"/>
        <v>0.43</v>
      </c>
      <c r="AS33">
        <v>0</v>
      </c>
      <c r="AT33" t="str">
        <f t="shared" si="12"/>
        <v>ENERO: 0 FEBRERO: 0 MARZO: 0 ABRIL: 0 MAYO: 0</v>
      </c>
      <c r="AU33" s="14">
        <f t="shared" si="13"/>
        <v>0</v>
      </c>
      <c r="AV33" s="13">
        <f t="shared" si="14"/>
        <v>0</v>
      </c>
      <c r="AW33" s="13">
        <f t="shared" si="15"/>
        <v>1</v>
      </c>
      <c r="AX33" t="s">
        <v>778</v>
      </c>
      <c r="AY33" t="s">
        <v>779</v>
      </c>
      <c r="AZ33" t="s">
        <v>780</v>
      </c>
      <c r="BD33" t="str">
        <f t="shared" si="16"/>
        <v>Adquirir y poner en funcionamiento 6 maquinas para la Imprenta DistritalContratar servicios técnicos para la operación de la maquinaria de la Imprenta DistritalDesarrollar acciones  para la  adecuación, conservación, modernización, divulgación y fortalecimiento de la Imprenta Distrital, tanto en su infraestructura física, tecnologíca y logística como en su portafolio de servicios.</v>
      </c>
      <c r="BE33" t="e">
        <f>+VLOOKUP($N33,P1081_3,MATCH(BE$3,PAAC!#REF!,0),0)</f>
        <v>#NAME?</v>
      </c>
      <c r="BF33" t="e">
        <f>+VLOOKUP($N33,P1081_3,MATCH(BF$3,PAAC!#REF!,0),0)</f>
        <v>#NAME?</v>
      </c>
      <c r="BG33" t="e">
        <f>+VLOOKUP($N33,P1081_3,MATCH(BG$3,PAAC!#REF!,0),0)</f>
        <v>#NAME?</v>
      </c>
      <c r="BH33" t="e">
        <f>+VLOOKUP($N33,P1081_3,MATCH(BH$3,PAAC!#REF!,0),0)</f>
        <v>#NAME?</v>
      </c>
      <c r="BI33" t="e">
        <f>+VLOOKUP($N33,P1081_3,MATCH(BI$3,PAAC!#REF!,0),0)</f>
        <v>#NAME?</v>
      </c>
      <c r="BJ33" t="str">
        <f t="shared" si="17"/>
        <v/>
      </c>
    </row>
    <row r="34" spans="1:62" x14ac:dyDescent="0.3">
      <c r="A34" t="s">
        <v>772</v>
      </c>
      <c r="B34">
        <v>1125</v>
      </c>
      <c r="C34" t="s">
        <v>86</v>
      </c>
      <c r="D34">
        <v>10</v>
      </c>
      <c r="E34" t="s">
        <v>773</v>
      </c>
      <c r="F34" t="s">
        <v>596</v>
      </c>
      <c r="G34" t="s">
        <v>669</v>
      </c>
      <c r="H34" t="s">
        <v>111</v>
      </c>
      <c r="I34" t="s">
        <v>774</v>
      </c>
      <c r="J34" t="s">
        <v>775</v>
      </c>
      <c r="K34" t="s">
        <v>776</v>
      </c>
      <c r="L34" t="s">
        <v>601</v>
      </c>
      <c r="M34" t="s">
        <v>602</v>
      </c>
      <c r="N34" t="str">
        <f t="shared" si="0"/>
        <v>42B_3</v>
      </c>
      <c r="O34" s="13">
        <v>1</v>
      </c>
      <c r="P34" s="13">
        <v>1</v>
      </c>
      <c r="Q34">
        <v>3</v>
      </c>
      <c r="R34" t="s">
        <v>782</v>
      </c>
      <c r="S34" t="s">
        <v>780</v>
      </c>
      <c r="T34" t="s">
        <v>783</v>
      </c>
      <c r="U34" s="13">
        <v>8.1701746117929908E-2</v>
      </c>
      <c r="V34" s="13">
        <f t="shared" si="1"/>
        <v>8.1701746117929908E-2</v>
      </c>
      <c r="W34" s="13">
        <f t="shared" si="19"/>
        <v>1</v>
      </c>
      <c r="X34" s="9">
        <v>43866</v>
      </c>
      <c r="Y34" s="9">
        <v>43982</v>
      </c>
      <c r="Z34" s="10">
        <v>0</v>
      </c>
      <c r="AA34" s="13">
        <f t="shared" si="2"/>
        <v>0</v>
      </c>
      <c r="AB34" s="13">
        <f t="shared" si="3"/>
        <v>0</v>
      </c>
      <c r="AC34">
        <v>0</v>
      </c>
      <c r="AD34" s="10">
        <v>0.04</v>
      </c>
      <c r="AE34" s="13">
        <f t="shared" si="4"/>
        <v>0.04</v>
      </c>
      <c r="AF34" s="13">
        <f t="shared" si="5"/>
        <v>0.04</v>
      </c>
      <c r="AG34" t="s">
        <v>784</v>
      </c>
      <c r="AH34" s="10">
        <v>0.12</v>
      </c>
      <c r="AI34" s="13">
        <f t="shared" si="6"/>
        <v>0.12</v>
      </c>
      <c r="AJ34" s="13">
        <f t="shared" si="7"/>
        <v>0.12</v>
      </c>
      <c r="AK34" t="s">
        <v>785</v>
      </c>
      <c r="AL34" s="10">
        <v>0.41</v>
      </c>
      <c r="AM34" s="13">
        <f t="shared" si="8"/>
        <v>0.41</v>
      </c>
      <c r="AN34" s="13">
        <f t="shared" si="9"/>
        <v>0.41</v>
      </c>
      <c r="AO34" t="s">
        <v>786</v>
      </c>
      <c r="AP34" s="10">
        <v>0.43</v>
      </c>
      <c r="AQ34" s="13">
        <f t="shared" si="10"/>
        <v>0.43</v>
      </c>
      <c r="AR34" s="13">
        <f t="shared" si="11"/>
        <v>0.43</v>
      </c>
      <c r="AS34" t="s">
        <v>786</v>
      </c>
      <c r="AT34" t="str">
        <f t="shared" si="12"/>
        <v>ENERO: 0 FEBRERO: 1. Adecuación sede: Intervención de baños primer nivel con alistado de pisos y pañetes;  instalación de pisos oficinas segundo nivel.
2. Mantenimiento del Sistema Integrado de Gestión: Reporte seguimiento de acciones incluidas en el Plan de mejoramiento de la Imprenta Distrital, en ocasión a las auditorías internas y externas; propuesta anexo especificaciones técnicas para la elaboración del contrato de Residuos Peligrosos -Respel-.
 MARZO: 1. Adecuación sede: intervención de baños primer nivel con pañete de muros, fundida sobre piso, enchapado, reforma tubería hidrosanitaria.
2. Obra sede: ejecución de mayores cantidades de redes hidrosanitarias, mayores cantidades de concreto en reforzamiento estructural, hierros y anclajes, apuntalamiento estructural.
3. Mantenimiento del Sistema Integrado de Gestión: Monitoreo de los riesgos de la Subdirección de Imprenta Distrital; formato listo de verificación de requisitos norma ISO 9001:2015 IDTM, con el fin de proveer un buen servicio; seguimiento a la Estrategia de racionalización de tramites en el SUIT en la Subdirección de Imprenta Distrital; informe de inspecciones de puntos ecológicos de los servidores de la Imprenta Distrital para disminuir el impacto ambiental; informe de inspecciones de puntos ecológicos de los servidores de la Imprenta Distrital para disminuir el impacto ambiental; análisis de Riesgos de gestión y corrupción de la Subdirección de Imprenta Distrital. ABRIL: 1. Adecuación sede: intervención baños primer nivel, con enchapado, fundido lavamanos, instalación aparatos hidrosanitarios.
2. Obra sede: reinstalación eléctrica, desmonte perfilería cielo raso, apuntalamiento estructural, ejecución de mayores cantidades de reforzamiento estructural, reforzamiento de madera y mayores cantidades de inmunización.
3. Mantenimiento del Sistema Integrado de Gestión: procedimiento “Elaboración de Impresos y Registro Distrital”, actualizado;
matriz de monitoreo de riesgos de gestión y de corrupción del proceso de Imprenta; informe de inspecciones de puntos ecológicos de los servidores de la Imprenta Distrital para disminuir el impacto ambiental; informe de inspecciones de puestos de trabajo de los diferentes colaboradores de la Imprenta Distrital, con el fin de prevenir enfermedades laborales en los servidores; realizar la revisión y actualización de la matriz de IPVR, en el marco de la Resolución 0312 de 2019. MAYO: 1. Adecuación sede: intervención baños primer nivel, con enchapado, fundido lavamanos, instalación aparatos hidrosanitarios.
2. Obra sede: reinstalación eléctrica, desmonte perfilería cielo raso, apuntalamiento estructural, ejecución de mayores cantidades de reforzamiento estructural, reforzamiento de madera y mayores cantidades de inmunización.
3. Mantenimiento del Sistema Integrado de Gestión: procedimiento “Elaboración de Impresos y Registro Distrital”, actualizado;
matriz de monitoreo de riesgos de gestión y de corrupción del proceso de Imprenta; informe de inspecciones de puntos ecológicos de los servidores de la Imprenta Distrital para disminuir el impacto ambiental; informe de inspecciones de puestos de trabajo de los diferentes colaboradores de la Imprenta Distrital, con el fin de prevenir enfermedades laborales en los servidores; realizar la revisión y actualización de la matriz de IPVR, en el marco de la Resolución 0312 de 2019.</v>
      </c>
      <c r="AU34" s="14">
        <f t="shared" si="13"/>
        <v>1</v>
      </c>
      <c r="AV34" s="13">
        <f t="shared" si="14"/>
        <v>1</v>
      </c>
      <c r="AW34" s="13">
        <f t="shared" si="15"/>
        <v>1</v>
      </c>
      <c r="AX34" t="s">
        <v>778</v>
      </c>
      <c r="AY34" t="s">
        <v>779</v>
      </c>
      <c r="AZ34" t="s">
        <v>780</v>
      </c>
      <c r="BD34" t="str">
        <f t="shared" si="16"/>
        <v>Adquirir y poner en funcionamiento 6 maquinas para la Imprenta DistritalContratar servicios técnicos para la operación de la maquinaria de la Imprenta DistritalDesarrollar acciones  para la  adecuación, conservación, modernización, divulgación y fortalecimiento de la Imprenta Distrital, tanto en su infraestructura física, tecnologíca y logística como en su portafolio de servicios.</v>
      </c>
      <c r="BE34" t="e">
        <f>+VLOOKUP($N34,P1081_3,MATCH(BE$3,PAAC!#REF!,0),0)</f>
        <v>#NAME?</v>
      </c>
      <c r="BF34" t="e">
        <f>+VLOOKUP($N34,P1081_3,MATCH(BF$3,PAAC!#REF!,0),0)</f>
        <v>#NAME?</v>
      </c>
      <c r="BG34" t="e">
        <f>+VLOOKUP($N34,P1081_3,MATCH(BG$3,PAAC!#REF!,0),0)</f>
        <v>#NAME?</v>
      </c>
      <c r="BH34" t="e">
        <f>+VLOOKUP($N34,P1081_3,MATCH(BH$3,PAAC!#REF!,0),0)</f>
        <v>#NAME?</v>
      </c>
      <c r="BI34" t="e">
        <f>+VLOOKUP($N34,P1081_3,MATCH(BI$3,PAAC!#REF!,0),0)</f>
        <v>#NAME?</v>
      </c>
      <c r="BJ34" t="str">
        <f t="shared" si="17"/>
        <v/>
      </c>
    </row>
    <row r="35" spans="1:62" x14ac:dyDescent="0.3">
      <c r="A35">
        <v>109</v>
      </c>
      <c r="B35">
        <v>1125</v>
      </c>
      <c r="C35" t="s">
        <v>86</v>
      </c>
      <c r="D35">
        <v>9</v>
      </c>
      <c r="E35" t="s">
        <v>787</v>
      </c>
      <c r="F35" t="s">
        <v>596</v>
      </c>
      <c r="G35" t="s">
        <v>669</v>
      </c>
      <c r="H35" t="s">
        <v>117</v>
      </c>
      <c r="I35" t="s">
        <v>788</v>
      </c>
      <c r="J35" t="s">
        <v>789</v>
      </c>
      <c r="K35" t="s">
        <v>790</v>
      </c>
      <c r="L35" t="s">
        <v>638</v>
      </c>
      <c r="M35" t="s">
        <v>602</v>
      </c>
      <c r="N35" t="str">
        <f t="shared" si="0"/>
        <v>109_1</v>
      </c>
      <c r="O35" s="13">
        <v>1</v>
      </c>
      <c r="P35" s="13">
        <v>1</v>
      </c>
      <c r="Q35">
        <v>1</v>
      </c>
      <c r="R35" t="s">
        <v>791</v>
      </c>
      <c r="S35" t="s">
        <v>792</v>
      </c>
      <c r="T35" t="s">
        <v>793</v>
      </c>
      <c r="U35" s="13">
        <v>2.9345191357816169E-3</v>
      </c>
      <c r="V35" s="13">
        <f t="shared" si="1"/>
        <v>5.0192651358920218E-2</v>
      </c>
      <c r="W35" s="13">
        <f t="shared" si="19"/>
        <v>5.8465115038400843E-2</v>
      </c>
      <c r="X35" s="9">
        <v>43910</v>
      </c>
      <c r="Y35" s="9">
        <v>43981</v>
      </c>
      <c r="Z35" s="10">
        <v>0</v>
      </c>
      <c r="AA35" s="13">
        <f t="shared" si="2"/>
        <v>0</v>
      </c>
      <c r="AB35" s="13">
        <f t="shared" si="3"/>
        <v>6.8434767799507135E-2</v>
      </c>
      <c r="AC35">
        <v>0</v>
      </c>
      <c r="AD35" s="10">
        <v>0</v>
      </c>
      <c r="AE35" s="13">
        <f t="shared" si="4"/>
        <v>0</v>
      </c>
      <c r="AF35" s="13">
        <f t="shared" si="5"/>
        <v>0.18749689653828078</v>
      </c>
      <c r="AG35">
        <v>0</v>
      </c>
      <c r="AH35" s="10">
        <v>0.2</v>
      </c>
      <c r="AI35" s="13">
        <f t="shared" si="6"/>
        <v>1.1693023007680169E-2</v>
      </c>
      <c r="AJ35" s="13">
        <f t="shared" si="7"/>
        <v>0.19918991954596096</v>
      </c>
      <c r="AK35" t="s">
        <v>794</v>
      </c>
      <c r="AL35" s="10">
        <v>0.4</v>
      </c>
      <c r="AM35" s="13">
        <f t="shared" si="8"/>
        <v>2.3386046015360339E-2</v>
      </c>
      <c r="AN35" s="13">
        <f t="shared" si="9"/>
        <v>0.21088294255364115</v>
      </c>
      <c r="AO35" t="s">
        <v>795</v>
      </c>
      <c r="AP35" s="10">
        <v>0.4</v>
      </c>
      <c r="AQ35" s="13">
        <f t="shared" si="10"/>
        <v>2.3386046015360339E-2</v>
      </c>
      <c r="AR35" s="13">
        <f t="shared" si="11"/>
        <v>0.33399547356260989</v>
      </c>
      <c r="AS35" t="s">
        <v>795</v>
      </c>
      <c r="AT35" t="str">
        <f t="shared" si="12"/>
        <v>ENERO: 0 FEBRERO: 0 MARZO: Plan de trabajo para ajustes del SIGA. ABRIL: Casos de soporte en el aplicativo MAYO: Casos de soporte en el aplicativo</v>
      </c>
      <c r="AU35" s="14">
        <f t="shared" si="13"/>
        <v>1</v>
      </c>
      <c r="AV35" s="13">
        <f t="shared" si="14"/>
        <v>5.8465115038400843E-2</v>
      </c>
      <c r="AW35" s="13">
        <f t="shared" si="15"/>
        <v>0.99999999999999978</v>
      </c>
      <c r="AX35" t="s">
        <v>792</v>
      </c>
      <c r="AY35" t="s">
        <v>796</v>
      </c>
      <c r="AZ35" t="s">
        <v>797</v>
      </c>
      <c r="BA35" t="s">
        <v>798</v>
      </c>
      <c r="BD35" t="str">
        <f t="shared" si="16"/>
        <v>Elaborar e implementar en un el plan estratégico para la gestión documental electrónica en la Secretaria GeneralEstrategia de socialización y sensibilización dirigido a los servidores de la Secretaria General, para apoyar la modernización de los archivos y la gestiónImplementar las fases del programa de gestión documental en la Secretaria General y realizar los ajustes que se requieranOrganizar fisica y electrónicamente 2.500 m lineales de archivo central de la Secretaría General</v>
      </c>
      <c r="BE35" t="e">
        <f>+VLOOKUP($N35,P1081_3,MATCH(BE$3,PAAC!#REF!,0),0)</f>
        <v>#NAME?</v>
      </c>
      <c r="BF35" t="e">
        <f>+VLOOKUP($N35,P1081_3,MATCH(BF$3,PAAC!#REF!,0),0)</f>
        <v>#NAME?</v>
      </c>
      <c r="BG35" t="e">
        <f>+VLOOKUP($N35,P1081_3,MATCH(BG$3,PAAC!#REF!,0),0)</f>
        <v>#NAME?</v>
      </c>
      <c r="BH35" t="e">
        <f>+VLOOKUP($N35,P1081_3,MATCH(BH$3,PAAC!#REF!,0),0)</f>
        <v>#NAME?</v>
      </c>
      <c r="BI35" t="e">
        <f>+VLOOKUP($N35,P1081_3,MATCH(BI$3,PAAC!#REF!,0),0)</f>
        <v>#NAME?</v>
      </c>
      <c r="BJ35" t="str">
        <f t="shared" si="17"/>
        <v/>
      </c>
    </row>
    <row r="36" spans="1:62" x14ac:dyDescent="0.3">
      <c r="A36">
        <v>109</v>
      </c>
      <c r="B36">
        <v>1125</v>
      </c>
      <c r="C36" t="s">
        <v>86</v>
      </c>
      <c r="D36">
        <v>9</v>
      </c>
      <c r="E36" t="s">
        <v>787</v>
      </c>
      <c r="F36" t="s">
        <v>596</v>
      </c>
      <c r="G36" t="s">
        <v>669</v>
      </c>
      <c r="H36" t="s">
        <v>117</v>
      </c>
      <c r="I36" t="s">
        <v>788</v>
      </c>
      <c r="J36" t="s">
        <v>789</v>
      </c>
      <c r="K36" t="s">
        <v>790</v>
      </c>
      <c r="L36" t="s">
        <v>638</v>
      </c>
      <c r="M36" t="s">
        <v>602</v>
      </c>
      <c r="N36" t="str">
        <f t="shared" ref="N36:N67" si="20">+A36&amp;"_"&amp;Q36</f>
        <v>109_2</v>
      </c>
      <c r="O36" s="13">
        <v>1</v>
      </c>
      <c r="P36" s="13">
        <v>1</v>
      </c>
      <c r="Q36">
        <v>2</v>
      </c>
      <c r="R36" t="s">
        <v>799</v>
      </c>
      <c r="S36" t="s">
        <v>796</v>
      </c>
      <c r="T36" t="s">
        <v>793</v>
      </c>
      <c r="U36" s="13">
        <v>6.1793443468474221E-3</v>
      </c>
      <c r="V36" s="13">
        <f t="shared" ref="V36:V67" si="21">+SUMIF($E$4:$E$86,E36,$U$4:$U$86)</f>
        <v>5.0192651358920218E-2</v>
      </c>
      <c r="W36" s="13">
        <f t="shared" si="19"/>
        <v>0.12311253100896874</v>
      </c>
      <c r="X36" s="9">
        <v>43966</v>
      </c>
      <c r="Y36" s="9">
        <v>43981</v>
      </c>
      <c r="Z36" s="10">
        <v>0</v>
      </c>
      <c r="AA36" s="13">
        <f t="shared" ref="AA36:AA67" si="22">+Z36*$W36</f>
        <v>0</v>
      </c>
      <c r="AB36" s="13">
        <f t="shared" ref="AB36:AB67" si="23">+SUMIF($E$4:$E$86,$E36,AA$4:AA$86)</f>
        <v>6.8434767799507135E-2</v>
      </c>
      <c r="AC36">
        <v>0</v>
      </c>
      <c r="AD36" s="10">
        <v>0</v>
      </c>
      <c r="AE36" s="13">
        <f t="shared" ref="AE36:AE67" si="24">+AD36*$W36</f>
        <v>0</v>
      </c>
      <c r="AF36" s="13">
        <f t="shared" ref="AF36:AF67" si="25">+SUMIF($E$4:$E$86,$E36,AE$4:AE$86)</f>
        <v>0.18749689653828078</v>
      </c>
      <c r="AG36">
        <v>0</v>
      </c>
      <c r="AH36" s="10">
        <v>0</v>
      </c>
      <c r="AI36" s="13">
        <f t="shared" ref="AI36:AI67" si="26">+AH36*$W36</f>
        <v>0</v>
      </c>
      <c r="AJ36" s="13">
        <f t="shared" ref="AJ36:AJ67" si="27">+SUMIF($E$4:$E$86,$E36,AI$4:AI$86)</f>
        <v>0.19918991954596096</v>
      </c>
      <c r="AK36">
        <v>0</v>
      </c>
      <c r="AL36" s="10">
        <v>0</v>
      </c>
      <c r="AM36" s="13">
        <f t="shared" ref="AM36:AM67" si="28">+AL36*$W36</f>
        <v>0</v>
      </c>
      <c r="AN36" s="13">
        <f t="shared" ref="AN36:AN67" si="29">+SUMIF($E$4:$E$86,$E36,AM$4:AM$86)</f>
        <v>0.21088294255364115</v>
      </c>
      <c r="AO36">
        <v>0</v>
      </c>
      <c r="AP36" s="10">
        <v>1</v>
      </c>
      <c r="AQ36" s="13">
        <f t="shared" ref="AQ36:AQ67" si="30">+AP36*$W36</f>
        <v>0.12311253100896874</v>
      </c>
      <c r="AR36" s="13">
        <f t="shared" ref="AR36:AR67" si="31">+SUMIF($E$4:$E$86,$E36,AQ$4:AQ$86)</f>
        <v>0.33399547356260989</v>
      </c>
      <c r="AS36">
        <v>0</v>
      </c>
      <c r="AT36" t="str">
        <f t="shared" ref="AT36:AT67" si="32">+"ENERO: "&amp;AC36&amp;" FEBRERO: "&amp;AG36&amp;" MARZO: "&amp;AK36&amp;" ABRIL: "&amp;AO36&amp;" MAYO: "&amp;AS36</f>
        <v>ENERO: 0 FEBRERO: 0 MARZO: 0 ABRIL: 0 MAYO: 0</v>
      </c>
      <c r="AU36" s="14">
        <f t="shared" ref="AU36:AU67" si="33">+Z36+AD36+AH36+AL36+AP36</f>
        <v>1</v>
      </c>
      <c r="AV36" s="13">
        <f t="shared" ref="AV36:AV67" si="34">+AU36*$W36</f>
        <v>0.12311253100896874</v>
      </c>
      <c r="AW36" s="13">
        <f t="shared" ref="AW36:AW67" si="35">+SUMIF($E$4:$E$86,$E36,AV$4:AV$86)</f>
        <v>0.99999999999999978</v>
      </c>
      <c r="AX36" t="s">
        <v>792</v>
      </c>
      <c r="AY36" t="s">
        <v>796</v>
      </c>
      <c r="AZ36" t="s">
        <v>797</v>
      </c>
      <c r="BA36" t="s">
        <v>798</v>
      </c>
      <c r="BD36" t="str">
        <f t="shared" ref="BD36:BD67" si="36">+_xlfn.CONCAT(AX36:BC36)</f>
        <v>Elaborar e implementar en un el plan estratégico para la gestión documental electrónica en la Secretaria GeneralEstrategia de socialización y sensibilización dirigido a los servidores de la Secretaria General, para apoyar la modernización de los archivos y la gestiónImplementar las fases del programa de gestión documental en la Secretaria General y realizar los ajustes que se requieranOrganizar fisica y electrónicamente 2.500 m lineales de archivo central de la Secretaría General</v>
      </c>
      <c r="BE36" t="e">
        <f>+VLOOKUP($N36,P1081_3,MATCH(BE$3,PAAC!#REF!,0),0)</f>
        <v>#NAME?</v>
      </c>
      <c r="BF36" t="e">
        <f>+VLOOKUP($N36,P1081_3,MATCH(BF$3,PAAC!#REF!,0),0)</f>
        <v>#NAME?</v>
      </c>
      <c r="BG36" t="e">
        <f>+VLOOKUP($N36,P1081_3,MATCH(BG$3,PAAC!#REF!,0),0)</f>
        <v>#NAME?</v>
      </c>
      <c r="BH36" t="e">
        <f>+VLOOKUP($N36,P1081_3,MATCH(BH$3,PAAC!#REF!,0),0)</f>
        <v>#NAME?</v>
      </c>
      <c r="BI36" t="e">
        <f>+VLOOKUP($N36,P1081_3,MATCH(BI$3,PAAC!#REF!,0),0)</f>
        <v>#NAME?</v>
      </c>
      <c r="BJ36" t="str">
        <f t="shared" ref="BJ36:BJ67" si="37">+IFERROR(AVERAGEIF(BE36:BI36,"&lt;&gt;0"),"")</f>
        <v/>
      </c>
    </row>
    <row r="37" spans="1:62" x14ac:dyDescent="0.3">
      <c r="A37">
        <v>109</v>
      </c>
      <c r="B37">
        <v>1125</v>
      </c>
      <c r="C37" t="s">
        <v>86</v>
      </c>
      <c r="D37">
        <v>9</v>
      </c>
      <c r="E37" t="s">
        <v>787</v>
      </c>
      <c r="F37" t="s">
        <v>596</v>
      </c>
      <c r="G37" t="s">
        <v>669</v>
      </c>
      <c r="H37" t="s">
        <v>117</v>
      </c>
      <c r="I37" t="s">
        <v>788</v>
      </c>
      <c r="J37" t="s">
        <v>789</v>
      </c>
      <c r="K37" t="s">
        <v>790</v>
      </c>
      <c r="L37" t="s">
        <v>638</v>
      </c>
      <c r="M37" t="s">
        <v>602</v>
      </c>
      <c r="N37" t="str">
        <f t="shared" si="20"/>
        <v>109_3</v>
      </c>
      <c r="O37" s="13">
        <v>1</v>
      </c>
      <c r="P37" s="13">
        <v>1</v>
      </c>
      <c r="Q37">
        <v>3</v>
      </c>
      <c r="R37" t="s">
        <v>800</v>
      </c>
      <c r="S37" t="s">
        <v>797</v>
      </c>
      <c r="T37" t="s">
        <v>793</v>
      </c>
      <c r="U37" s="13">
        <v>1.7174612204946607E-2</v>
      </c>
      <c r="V37" s="13">
        <f t="shared" si="21"/>
        <v>5.0192651358920218E-2</v>
      </c>
      <c r="W37" s="13">
        <f t="shared" si="19"/>
        <v>0.34217383899753567</v>
      </c>
      <c r="X37" s="9">
        <v>43852</v>
      </c>
      <c r="Y37" s="9">
        <v>43981</v>
      </c>
      <c r="Z37" s="10">
        <v>0.2</v>
      </c>
      <c r="AA37" s="13">
        <f t="shared" si="22"/>
        <v>6.8434767799507135E-2</v>
      </c>
      <c r="AB37" s="13">
        <f t="shared" si="23"/>
        <v>6.8434767799507135E-2</v>
      </c>
      <c r="AC37" t="s">
        <v>801</v>
      </c>
      <c r="AD37" s="10">
        <v>0.2</v>
      </c>
      <c r="AE37" s="13">
        <f t="shared" si="24"/>
        <v>6.8434767799507135E-2</v>
      </c>
      <c r="AF37" s="13">
        <f t="shared" si="25"/>
        <v>0.18749689653828078</v>
      </c>
      <c r="AG37" t="s">
        <v>802</v>
      </c>
      <c r="AH37" s="10">
        <v>0.2</v>
      </c>
      <c r="AI37" s="13">
        <f t="shared" si="26"/>
        <v>6.8434767799507135E-2</v>
      </c>
      <c r="AJ37" s="13">
        <f t="shared" si="27"/>
        <v>0.19918991954596096</v>
      </c>
      <c r="AK37" t="s">
        <v>802</v>
      </c>
      <c r="AL37" s="10">
        <v>0.2</v>
      </c>
      <c r="AM37" s="13">
        <f t="shared" si="28"/>
        <v>6.8434767799507135E-2</v>
      </c>
      <c r="AN37" s="13">
        <f t="shared" si="29"/>
        <v>0.21088294255364115</v>
      </c>
      <c r="AO37" t="s">
        <v>802</v>
      </c>
      <c r="AP37" s="10">
        <v>0.2</v>
      </c>
      <c r="AQ37" s="13">
        <f t="shared" si="30"/>
        <v>6.8434767799507135E-2</v>
      </c>
      <c r="AR37" s="13">
        <f t="shared" si="31"/>
        <v>0.33399547356260989</v>
      </c>
      <c r="AS37" t="s">
        <v>802</v>
      </c>
      <c r="AT37" t="str">
        <f t="shared" si="32"/>
        <v>ENERO: Cronograma de organización de archivo y cronograma de transferencias FEBRERO: Reportes de seguimiento a la ejecución de los cronogramas. MARZO: Reportes de seguimiento a la ejecución de los cronogramas. ABRIL: Reportes de seguimiento a la ejecución de los cronogramas. MAYO: Reportes de seguimiento a la ejecución de los cronogramas.</v>
      </c>
      <c r="AU37" s="14">
        <f t="shared" si="33"/>
        <v>1</v>
      </c>
      <c r="AV37" s="13">
        <f t="shared" si="34"/>
        <v>0.34217383899753567</v>
      </c>
      <c r="AW37" s="13">
        <f t="shared" si="35"/>
        <v>0.99999999999999978</v>
      </c>
      <c r="AX37" t="s">
        <v>792</v>
      </c>
      <c r="AY37" t="s">
        <v>796</v>
      </c>
      <c r="AZ37" t="s">
        <v>797</v>
      </c>
      <c r="BA37" t="s">
        <v>798</v>
      </c>
      <c r="BD37" t="str">
        <f t="shared" si="36"/>
        <v>Elaborar e implementar en un el plan estratégico para la gestión documental electrónica en la Secretaria GeneralEstrategia de socialización y sensibilización dirigido a los servidores de la Secretaria General, para apoyar la modernización de los archivos y la gestiónImplementar las fases del programa de gestión documental en la Secretaria General y realizar los ajustes que se requieranOrganizar fisica y electrónicamente 2.500 m lineales de archivo central de la Secretaría General</v>
      </c>
      <c r="BE37" t="e">
        <f>+VLOOKUP($N37,P1081_3,MATCH(BE$3,PAAC!#REF!,0),0)</f>
        <v>#NAME?</v>
      </c>
      <c r="BF37" t="e">
        <f>+VLOOKUP($N37,P1081_3,MATCH(BF$3,PAAC!#REF!,0),0)</f>
        <v>#NAME?</v>
      </c>
      <c r="BG37" t="e">
        <f>+VLOOKUP($N37,P1081_3,MATCH(BG$3,PAAC!#REF!,0),0)</f>
        <v>#NAME?</v>
      </c>
      <c r="BH37" t="e">
        <f>+VLOOKUP($N37,P1081_3,MATCH(BH$3,PAAC!#REF!,0),0)</f>
        <v>#NAME?</v>
      </c>
      <c r="BI37" t="e">
        <f>+VLOOKUP($N37,P1081_3,MATCH(BI$3,PAAC!#REF!,0),0)</f>
        <v>#NAME?</v>
      </c>
      <c r="BJ37" t="str">
        <f t="shared" si="37"/>
        <v/>
      </c>
    </row>
    <row r="38" spans="1:62" x14ac:dyDescent="0.3">
      <c r="A38">
        <v>109</v>
      </c>
      <c r="B38">
        <v>1125</v>
      </c>
      <c r="C38" t="s">
        <v>86</v>
      </c>
      <c r="D38">
        <v>9</v>
      </c>
      <c r="E38" t="s">
        <v>787</v>
      </c>
      <c r="F38" t="s">
        <v>596</v>
      </c>
      <c r="G38" t="s">
        <v>669</v>
      </c>
      <c r="H38" t="s">
        <v>117</v>
      </c>
      <c r="I38" t="s">
        <v>788</v>
      </c>
      <c r="J38" t="s">
        <v>789</v>
      </c>
      <c r="K38" t="s">
        <v>790</v>
      </c>
      <c r="L38" t="s">
        <v>638</v>
      </c>
      <c r="M38" t="s">
        <v>602</v>
      </c>
      <c r="N38" t="str">
        <f t="shared" si="20"/>
        <v>109_4</v>
      </c>
      <c r="O38" s="13">
        <v>1</v>
      </c>
      <c r="P38" s="13">
        <v>1</v>
      </c>
      <c r="Q38">
        <v>4</v>
      </c>
      <c r="R38" t="s">
        <v>803</v>
      </c>
      <c r="S38" t="s">
        <v>798</v>
      </c>
      <c r="T38" t="s">
        <v>793</v>
      </c>
      <c r="U38" s="13">
        <v>2.3904175671344566E-2</v>
      </c>
      <c r="V38" s="13">
        <f t="shared" si="21"/>
        <v>5.0192651358920218E-2</v>
      </c>
      <c r="W38" s="13">
        <f t="shared" si="19"/>
        <v>0.47624851495509463</v>
      </c>
      <c r="X38" s="9">
        <v>43861</v>
      </c>
      <c r="Y38" s="9">
        <v>43981</v>
      </c>
      <c r="Z38" s="10">
        <v>0</v>
      </c>
      <c r="AA38" s="13">
        <f t="shared" si="22"/>
        <v>0</v>
      </c>
      <c r="AB38" s="13">
        <f t="shared" si="23"/>
        <v>6.8434767799507135E-2</v>
      </c>
      <c r="AC38">
        <v>0</v>
      </c>
      <c r="AD38" s="10">
        <v>0.25</v>
      </c>
      <c r="AE38" s="13">
        <f t="shared" si="24"/>
        <v>0.11906212873877366</v>
      </c>
      <c r="AF38" s="13">
        <f t="shared" si="25"/>
        <v>0.18749689653828078</v>
      </c>
      <c r="AG38" t="s">
        <v>804</v>
      </c>
      <c r="AH38" s="10">
        <v>0.25</v>
      </c>
      <c r="AI38" s="13">
        <f t="shared" si="26"/>
        <v>0.11906212873877366</v>
      </c>
      <c r="AJ38" s="13">
        <f t="shared" si="27"/>
        <v>0.19918991954596096</v>
      </c>
      <c r="AK38" t="s">
        <v>805</v>
      </c>
      <c r="AL38" s="10">
        <v>0.25</v>
      </c>
      <c r="AM38" s="13">
        <f t="shared" si="28"/>
        <v>0.11906212873877366</v>
      </c>
      <c r="AN38" s="13">
        <f t="shared" si="29"/>
        <v>0.21088294255364115</v>
      </c>
      <c r="AO38" t="s">
        <v>806</v>
      </c>
      <c r="AP38" s="10">
        <v>0.25</v>
      </c>
      <c r="AQ38" s="13">
        <f t="shared" si="30"/>
        <v>0.11906212873877366</v>
      </c>
      <c r="AR38" s="13">
        <f t="shared" si="31"/>
        <v>0.33399547356260989</v>
      </c>
      <c r="AS38" t="s">
        <v>806</v>
      </c>
      <c r="AT38" t="str">
        <f t="shared" si="32"/>
        <v>ENERO: 0 FEBRERO: Inventarios consolidados por depósito MARZO: Inventarios iniciales por periodo ABRIL: Inventarios consolidados por periodo MAYO: Inventarios consolidados por periodo</v>
      </c>
      <c r="AU38" s="14">
        <f t="shared" si="33"/>
        <v>1</v>
      </c>
      <c r="AV38" s="13">
        <f t="shared" si="34"/>
        <v>0.47624851495509463</v>
      </c>
      <c r="AW38" s="13">
        <f t="shared" si="35"/>
        <v>0.99999999999999978</v>
      </c>
      <c r="AX38" t="s">
        <v>792</v>
      </c>
      <c r="AY38" t="s">
        <v>796</v>
      </c>
      <c r="AZ38" t="s">
        <v>797</v>
      </c>
      <c r="BA38" t="s">
        <v>798</v>
      </c>
      <c r="BD38" t="str">
        <f t="shared" si="36"/>
        <v>Elaborar e implementar en un el plan estratégico para la gestión documental electrónica en la Secretaria GeneralEstrategia de socialización y sensibilización dirigido a los servidores de la Secretaria General, para apoyar la modernización de los archivos y la gestiónImplementar las fases del programa de gestión documental en la Secretaria General y realizar los ajustes que se requieranOrganizar fisica y electrónicamente 2.500 m lineales de archivo central de la Secretaría General</v>
      </c>
      <c r="BE38" t="e">
        <f>+VLOOKUP($N38,P1081_3,MATCH(BE$3,PAAC!#REF!,0),0)</f>
        <v>#NAME?</v>
      </c>
      <c r="BF38" t="e">
        <f>+VLOOKUP($N38,P1081_3,MATCH(BF$3,PAAC!#REF!,0),0)</f>
        <v>#NAME?</v>
      </c>
      <c r="BG38" t="e">
        <f>+VLOOKUP($N38,P1081_3,MATCH(BG$3,PAAC!#REF!,0),0)</f>
        <v>#NAME?</v>
      </c>
      <c r="BH38" t="e">
        <f>+VLOOKUP($N38,P1081_3,MATCH(BH$3,PAAC!#REF!,0),0)</f>
        <v>#NAME?</v>
      </c>
      <c r="BI38" t="e">
        <f>+VLOOKUP($N38,P1081_3,MATCH(BI$3,PAAC!#REF!,0),0)</f>
        <v>#NAME?</v>
      </c>
      <c r="BJ38" t="str">
        <f t="shared" si="37"/>
        <v/>
      </c>
    </row>
    <row r="39" spans="1:62" x14ac:dyDescent="0.3">
      <c r="A39" t="s">
        <v>807</v>
      </c>
      <c r="B39">
        <v>1125</v>
      </c>
      <c r="C39" t="s">
        <v>86</v>
      </c>
      <c r="D39">
        <v>12</v>
      </c>
      <c r="E39" t="s">
        <v>808</v>
      </c>
      <c r="F39" t="s">
        <v>596</v>
      </c>
      <c r="G39" t="s">
        <v>669</v>
      </c>
      <c r="H39" t="s">
        <v>122</v>
      </c>
      <c r="I39" t="s">
        <v>809</v>
      </c>
      <c r="J39" t="s">
        <v>810</v>
      </c>
      <c r="K39" t="s">
        <v>811</v>
      </c>
      <c r="L39" t="s">
        <v>601</v>
      </c>
      <c r="M39" t="s">
        <v>602</v>
      </c>
      <c r="N39" t="str">
        <f t="shared" si="20"/>
        <v>96A_1</v>
      </c>
      <c r="O39" s="13">
        <v>1</v>
      </c>
      <c r="P39" s="13">
        <v>1</v>
      </c>
      <c r="Q39">
        <v>1</v>
      </c>
      <c r="R39" t="s">
        <v>812</v>
      </c>
      <c r="S39" t="s">
        <v>813</v>
      </c>
      <c r="T39" t="s">
        <v>793</v>
      </c>
      <c r="U39" s="13">
        <v>1.6613064287426847E-2</v>
      </c>
      <c r="V39" s="13">
        <f t="shared" si="21"/>
        <v>8.8025738617029781E-2</v>
      </c>
      <c r="W39" s="13">
        <f t="shared" si="19"/>
        <v>0.18872962099988358</v>
      </c>
      <c r="X39" s="9">
        <v>43845</v>
      </c>
      <c r="Y39" s="9">
        <v>43981</v>
      </c>
      <c r="Z39" s="10">
        <v>0.15</v>
      </c>
      <c r="AA39" s="13">
        <f t="shared" si="22"/>
        <v>2.8309443149982537E-2</v>
      </c>
      <c r="AB39" s="13">
        <f t="shared" si="23"/>
        <v>0.19056351895000584</v>
      </c>
      <c r="AC39" t="s">
        <v>814</v>
      </c>
      <c r="AD39" s="10">
        <v>0.25</v>
      </c>
      <c r="AE39" s="13">
        <f t="shared" si="24"/>
        <v>4.7182405249970895E-2</v>
      </c>
      <c r="AF39" s="13">
        <f t="shared" si="25"/>
        <v>0.20943648104999418</v>
      </c>
      <c r="AG39" t="s">
        <v>814</v>
      </c>
      <c r="AH39" s="10">
        <v>0.2</v>
      </c>
      <c r="AI39" s="13">
        <f t="shared" si="26"/>
        <v>3.7745924199976716E-2</v>
      </c>
      <c r="AJ39" s="13">
        <f t="shared" si="27"/>
        <v>0.2</v>
      </c>
      <c r="AK39" t="s">
        <v>814</v>
      </c>
      <c r="AL39" s="10">
        <v>0.2</v>
      </c>
      <c r="AM39" s="13">
        <f t="shared" si="28"/>
        <v>3.7745924199976716E-2</v>
      </c>
      <c r="AN39" s="13">
        <f t="shared" si="29"/>
        <v>0.2</v>
      </c>
      <c r="AO39" t="s">
        <v>815</v>
      </c>
      <c r="AP39" s="10">
        <v>0.2</v>
      </c>
      <c r="AQ39" s="13">
        <f t="shared" si="30"/>
        <v>3.7745924199976716E-2</v>
      </c>
      <c r="AR39" s="13">
        <f t="shared" si="31"/>
        <v>0.2</v>
      </c>
      <c r="AS39" t="s">
        <v>815</v>
      </c>
      <c r="AT39" t="str">
        <f t="shared" si="32"/>
        <v>ENERO: Solicitudes de contratación radicadas de acuerdo con las  necesidades de las áreas FEBRERO: Solicitudes de contratación radicadas de acuerdo con las  necesidades de las áreas MARZO: Solicitudes de contratación radicadas de acuerdo con las  necesidades de las áreas ABRIL: Informe final con los siguientes temas: Solicitudes de contratación radicadas de acuerdo con las  necesidades de las áreas MAYO: Informe final con los siguientes temas: Solicitudes de contratación radicadas de acuerdo con las  necesidades de las áreas</v>
      </c>
      <c r="AU39" s="14">
        <f t="shared" si="33"/>
        <v>1</v>
      </c>
      <c r="AV39" s="13">
        <f t="shared" si="34"/>
        <v>0.18872962099988358</v>
      </c>
      <c r="AW39" s="13">
        <f t="shared" si="35"/>
        <v>1</v>
      </c>
      <c r="AX39" t="s">
        <v>813</v>
      </c>
      <c r="AY39" t="s">
        <v>816</v>
      </c>
      <c r="BD39" t="str">
        <f t="shared" si="36"/>
        <v>DAF - Planear y estructurar los contratos los bienes y servicios de acuerdo a las necesidades de los procesos, cumpliendo con los requisitos legales y los establecidos por la EntidadDC - Desarrollar los procesos contractuales de manera efectiva los bienes y servicios de acuerdo a las necesidades de los procesos, cumpliendo los requisitos legales y lo establecido por la Entidad.</v>
      </c>
      <c r="BE39" t="e">
        <f>+VLOOKUP($N39,P1081_3,MATCH(BE$3,PAAC!#REF!,0),0)</f>
        <v>#NAME?</v>
      </c>
      <c r="BF39" t="e">
        <f>+VLOOKUP($N39,P1081_3,MATCH(BF$3,PAAC!#REF!,0),0)</f>
        <v>#NAME?</v>
      </c>
      <c r="BG39" t="e">
        <f>+VLOOKUP($N39,P1081_3,MATCH(BG$3,PAAC!#REF!,0),0)</f>
        <v>#NAME?</v>
      </c>
      <c r="BH39" t="e">
        <f>+VLOOKUP($N39,P1081_3,MATCH(BH$3,PAAC!#REF!,0),0)</f>
        <v>#NAME?</v>
      </c>
      <c r="BI39" t="e">
        <f>+VLOOKUP($N39,P1081_3,MATCH(BI$3,PAAC!#REF!,0),0)</f>
        <v>#NAME?</v>
      </c>
      <c r="BJ39" t="str">
        <f t="shared" si="37"/>
        <v/>
      </c>
    </row>
    <row r="40" spans="1:62" x14ac:dyDescent="0.3">
      <c r="A40" t="s">
        <v>807</v>
      </c>
      <c r="B40">
        <v>1125</v>
      </c>
      <c r="C40" t="s">
        <v>86</v>
      </c>
      <c r="D40">
        <v>12</v>
      </c>
      <c r="E40" t="s">
        <v>808</v>
      </c>
      <c r="F40" t="s">
        <v>596</v>
      </c>
      <c r="G40" t="s">
        <v>669</v>
      </c>
      <c r="H40" t="s">
        <v>122</v>
      </c>
      <c r="I40" t="s">
        <v>809</v>
      </c>
      <c r="J40" t="s">
        <v>810</v>
      </c>
      <c r="K40" t="s">
        <v>811</v>
      </c>
      <c r="L40" t="s">
        <v>601</v>
      </c>
      <c r="M40" t="s">
        <v>602</v>
      </c>
      <c r="N40" t="str">
        <f t="shared" si="20"/>
        <v>96A_2</v>
      </c>
      <c r="O40" s="13">
        <v>1</v>
      </c>
      <c r="P40" s="13">
        <v>1</v>
      </c>
      <c r="Q40">
        <v>2</v>
      </c>
      <c r="R40" t="s">
        <v>817</v>
      </c>
      <c r="S40" t="s">
        <v>816</v>
      </c>
      <c r="T40" t="s">
        <v>818</v>
      </c>
      <c r="U40" s="13">
        <v>7.1412674329602938E-2</v>
      </c>
      <c r="V40" s="13">
        <f t="shared" si="21"/>
        <v>8.8025738617029781E-2</v>
      </c>
      <c r="W40" s="13">
        <f t="shared" si="19"/>
        <v>0.81127037900011645</v>
      </c>
      <c r="X40" s="9">
        <v>43831</v>
      </c>
      <c r="Y40" s="9">
        <v>43981</v>
      </c>
      <c r="Z40" s="10">
        <v>0.2</v>
      </c>
      <c r="AA40" s="13">
        <f t="shared" si="22"/>
        <v>0.1622540758000233</v>
      </c>
      <c r="AB40" s="13">
        <f t="shared" si="23"/>
        <v>0.19056351895000584</v>
      </c>
      <c r="AC40" t="s">
        <v>819</v>
      </c>
      <c r="AD40" s="10">
        <v>0.2</v>
      </c>
      <c r="AE40" s="13">
        <f t="shared" si="24"/>
        <v>0.1622540758000233</v>
      </c>
      <c r="AF40" s="13">
        <f t="shared" si="25"/>
        <v>0.20943648104999418</v>
      </c>
      <c r="AG40" t="s">
        <v>819</v>
      </c>
      <c r="AH40" s="10">
        <v>0.2</v>
      </c>
      <c r="AI40" s="13">
        <f t="shared" si="26"/>
        <v>0.1622540758000233</v>
      </c>
      <c r="AJ40" s="13">
        <f t="shared" si="27"/>
        <v>0.2</v>
      </c>
      <c r="AK40" t="s">
        <v>819</v>
      </c>
      <c r="AL40" s="10">
        <v>0.2</v>
      </c>
      <c r="AM40" s="13">
        <f t="shared" si="28"/>
        <v>0.1622540758000233</v>
      </c>
      <c r="AN40" s="13">
        <f t="shared" si="29"/>
        <v>0.2</v>
      </c>
      <c r="AO40" t="s">
        <v>820</v>
      </c>
      <c r="AP40" s="10">
        <v>0.2</v>
      </c>
      <c r="AQ40" s="13">
        <f t="shared" si="30"/>
        <v>0.1622540758000233</v>
      </c>
      <c r="AR40" s="13">
        <f t="shared" si="31"/>
        <v>0.2</v>
      </c>
      <c r="AS40" t="s">
        <v>820</v>
      </c>
      <c r="AT40" t="str">
        <f t="shared" si="32"/>
        <v>ENERO: 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 FEBRERO: 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 MARZO: 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 ABRIL: Informe final con los siguientes temas: 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 MAYO: Informe final con los siguientes temas: MODELO DE SEGUIMIENTO A LAS SOLICITUDES DE CONTRATACIÓN (en la base se encuentra la relación de las solicitudes radicadas en la Dirección de Contratación así como el respectivo trámite adelantado por el abogado responsable), BASE REPORTE SECOP (relación de la contratación llevada a cabo mes a mes)</v>
      </c>
      <c r="AU40" s="14">
        <f t="shared" si="33"/>
        <v>1</v>
      </c>
      <c r="AV40" s="13">
        <f t="shared" si="34"/>
        <v>0.81127037900011645</v>
      </c>
      <c r="AW40" s="13">
        <f t="shared" si="35"/>
        <v>1</v>
      </c>
      <c r="AX40" t="s">
        <v>813</v>
      </c>
      <c r="AY40" t="s">
        <v>816</v>
      </c>
      <c r="BD40" t="str">
        <f t="shared" si="36"/>
        <v>DAF - Planear y estructurar los contratos los bienes y servicios de acuerdo a las necesidades de los procesos, cumpliendo con los requisitos legales y los establecidos por la EntidadDC - Desarrollar los procesos contractuales de manera efectiva los bienes y servicios de acuerdo a las necesidades de los procesos, cumpliendo los requisitos legales y lo establecido por la Entidad.</v>
      </c>
      <c r="BE40" t="e">
        <f>+VLOOKUP($N40,P1081_3,MATCH(BE$3,PAAC!#REF!,0),0)</f>
        <v>#NAME?</v>
      </c>
      <c r="BF40" t="e">
        <f>+VLOOKUP($N40,P1081_3,MATCH(BF$3,PAAC!#REF!,0),0)</f>
        <v>#NAME?</v>
      </c>
      <c r="BG40" t="e">
        <f>+VLOOKUP($N40,P1081_3,MATCH(BG$3,PAAC!#REF!,0),0)</f>
        <v>#NAME?</v>
      </c>
      <c r="BH40" t="e">
        <f>+VLOOKUP($N40,P1081_3,MATCH(BH$3,PAAC!#REF!,0),0)</f>
        <v>#NAME?</v>
      </c>
      <c r="BI40" t="e">
        <f>+VLOOKUP($N40,P1081_3,MATCH(BI$3,PAAC!#REF!,0),0)</f>
        <v>#NAME?</v>
      </c>
      <c r="BJ40" t="str">
        <f t="shared" si="37"/>
        <v/>
      </c>
    </row>
    <row r="41" spans="1:62" x14ac:dyDescent="0.3">
      <c r="A41">
        <v>10</v>
      </c>
      <c r="B41">
        <v>1125</v>
      </c>
      <c r="C41" t="s">
        <v>86</v>
      </c>
      <c r="D41">
        <v>1</v>
      </c>
      <c r="E41" t="s">
        <v>821</v>
      </c>
      <c r="F41" t="s">
        <v>596</v>
      </c>
      <c r="G41" t="s">
        <v>669</v>
      </c>
      <c r="H41" t="s">
        <v>83</v>
      </c>
      <c r="I41" t="s">
        <v>822</v>
      </c>
      <c r="J41" t="s">
        <v>823</v>
      </c>
      <c r="K41" t="s">
        <v>824</v>
      </c>
      <c r="L41" t="s">
        <v>601</v>
      </c>
      <c r="M41" t="s">
        <v>639</v>
      </c>
      <c r="N41" t="str">
        <f t="shared" si="20"/>
        <v>10_1</v>
      </c>
      <c r="O41">
        <v>1</v>
      </c>
      <c r="P41" s="13">
        <v>1</v>
      </c>
      <c r="Q41">
        <v>1</v>
      </c>
      <c r="R41" t="s">
        <v>825</v>
      </c>
      <c r="S41" t="s">
        <v>826</v>
      </c>
      <c r="T41" t="s">
        <v>827</v>
      </c>
      <c r="U41" s="13">
        <v>5.9142504743676674E-2</v>
      </c>
      <c r="V41" s="13">
        <f t="shared" si="21"/>
        <v>0.11572289883754175</v>
      </c>
      <c r="W41" s="13">
        <f t="shared" si="19"/>
        <v>0.51107002449622541</v>
      </c>
      <c r="X41" s="9">
        <v>43862</v>
      </c>
      <c r="Y41" s="9">
        <v>43982</v>
      </c>
      <c r="Z41" s="10">
        <v>0</v>
      </c>
      <c r="AA41" s="13">
        <f t="shared" si="22"/>
        <v>0</v>
      </c>
      <c r="AB41" s="13">
        <f t="shared" si="23"/>
        <v>0</v>
      </c>
      <c r="AC41">
        <v>0</v>
      </c>
      <c r="AD41" s="10">
        <v>0</v>
      </c>
      <c r="AE41" s="13">
        <f t="shared" si="24"/>
        <v>0</v>
      </c>
      <c r="AF41" s="13">
        <f t="shared" si="25"/>
        <v>0</v>
      </c>
      <c r="AG41">
        <v>0</v>
      </c>
      <c r="AH41" s="10">
        <v>0</v>
      </c>
      <c r="AI41" s="13">
        <f t="shared" si="26"/>
        <v>0</v>
      </c>
      <c r="AJ41" s="13">
        <f t="shared" si="27"/>
        <v>0</v>
      </c>
      <c r="AK41">
        <v>0</v>
      </c>
      <c r="AL41" s="10">
        <v>0.2</v>
      </c>
      <c r="AM41" s="13">
        <f t="shared" si="28"/>
        <v>0.10221400489924509</v>
      </c>
      <c r="AN41" s="13">
        <f t="shared" si="29"/>
        <v>0.19999999999999998</v>
      </c>
      <c r="AO41" t="s">
        <v>828</v>
      </c>
      <c r="AP41" s="10">
        <v>0.8</v>
      </c>
      <c r="AQ41" s="13">
        <f t="shared" si="30"/>
        <v>0.40885601959698037</v>
      </c>
      <c r="AR41" s="13">
        <f t="shared" si="31"/>
        <v>0.79999999999999993</v>
      </c>
      <c r="AS41" t="s">
        <v>828</v>
      </c>
      <c r="AT41" t="str">
        <f t="shared" si="32"/>
        <v>ENERO: 0 FEBRERO: 0 MARZO: 0 ABRIL: Informe gestión presupuestal en la actividad "Apoyar la consolidacion del modelo de Asociaciones Público Privadas en las entidades del Distrito Capital". MAYO: Informe gestión presupuestal en la actividad "Apoyar la consolidacion del modelo de Asociaciones Público Privadas en las entidades del Distrito Capital".</v>
      </c>
      <c r="AU41" s="14">
        <f t="shared" si="33"/>
        <v>1</v>
      </c>
      <c r="AV41" s="13">
        <f t="shared" si="34"/>
        <v>0.51107002449622541</v>
      </c>
      <c r="AW41" s="13">
        <f t="shared" si="35"/>
        <v>0.99999999999999989</v>
      </c>
      <c r="AX41" t="s">
        <v>826</v>
      </c>
      <c r="AY41" t="s">
        <v>829</v>
      </c>
      <c r="AZ41" t="s">
        <v>830</v>
      </c>
      <c r="BD41" t="str">
        <f t="shared" si="36"/>
        <v>Apoyar la consolidacion del modelo de Asociaciones Público Privadas en las entidades del Distrito Capital.Articular y mantener con las entidades distritales, nacionales e internacionales las relaciones para el fortalecimiento y modernización de la gestión pública distrital.Realizar el seguimiento de forma transversal a los planes, programas y proyectos prioritarios de la administración distrital para el cumplimiento del Plan de Desarrollo "Bogotá Mejor para Todos"</v>
      </c>
      <c r="BE41" t="e">
        <f>+VLOOKUP($N41,P1081_3,MATCH(BE$3,PAAC!#REF!,0),0)</f>
        <v>#NAME?</v>
      </c>
      <c r="BF41" t="e">
        <f>+VLOOKUP($N41,P1081_3,MATCH(BF$3,PAAC!#REF!,0),0)</f>
        <v>#NAME?</v>
      </c>
      <c r="BG41" t="e">
        <f>+VLOOKUP($N41,P1081_3,MATCH(BG$3,PAAC!#REF!,0),0)</f>
        <v>#NAME?</v>
      </c>
      <c r="BH41" t="e">
        <f>+VLOOKUP($N41,P1081_3,MATCH(BH$3,PAAC!#REF!,0),0)</f>
        <v>#NAME?</v>
      </c>
      <c r="BI41" t="e">
        <f>+VLOOKUP($N41,P1081_3,MATCH(BI$3,PAAC!#REF!,0),0)</f>
        <v>#NAME?</v>
      </c>
      <c r="BJ41" t="str">
        <f t="shared" si="37"/>
        <v/>
      </c>
    </row>
    <row r="42" spans="1:62" x14ac:dyDescent="0.3">
      <c r="A42">
        <v>10</v>
      </c>
      <c r="B42">
        <v>1125</v>
      </c>
      <c r="C42" t="s">
        <v>86</v>
      </c>
      <c r="D42">
        <v>1</v>
      </c>
      <c r="E42" t="s">
        <v>821</v>
      </c>
      <c r="F42" t="s">
        <v>596</v>
      </c>
      <c r="G42" t="s">
        <v>669</v>
      </c>
      <c r="H42" t="s">
        <v>83</v>
      </c>
      <c r="I42" t="s">
        <v>822</v>
      </c>
      <c r="J42" t="s">
        <v>823</v>
      </c>
      <c r="K42" t="s">
        <v>824</v>
      </c>
      <c r="L42" t="s">
        <v>601</v>
      </c>
      <c r="M42" t="s">
        <v>639</v>
      </c>
      <c r="N42" t="str">
        <f t="shared" si="20"/>
        <v>10_2</v>
      </c>
      <c r="O42">
        <v>1</v>
      </c>
      <c r="P42" s="13">
        <v>1</v>
      </c>
      <c r="Q42">
        <v>2</v>
      </c>
      <c r="R42" t="s">
        <v>831</v>
      </c>
      <c r="S42" t="s">
        <v>829</v>
      </c>
      <c r="T42" t="s">
        <v>827</v>
      </c>
      <c r="U42" s="13">
        <v>2.7741908972490383E-2</v>
      </c>
      <c r="V42" s="13">
        <f t="shared" si="21"/>
        <v>0.11572289883754175</v>
      </c>
      <c r="W42" s="13">
        <f t="shared" si="19"/>
        <v>0.23972704841619996</v>
      </c>
      <c r="X42" s="9">
        <v>43862</v>
      </c>
      <c r="Y42" s="9">
        <v>43982</v>
      </c>
      <c r="Z42" s="10">
        <v>0</v>
      </c>
      <c r="AA42" s="13">
        <f t="shared" si="22"/>
        <v>0</v>
      </c>
      <c r="AB42" s="13">
        <f t="shared" si="23"/>
        <v>0</v>
      </c>
      <c r="AC42">
        <v>0</v>
      </c>
      <c r="AD42" s="10">
        <v>0</v>
      </c>
      <c r="AE42" s="13">
        <f t="shared" si="24"/>
        <v>0</v>
      </c>
      <c r="AF42" s="13">
        <f t="shared" si="25"/>
        <v>0</v>
      </c>
      <c r="AG42">
        <v>0</v>
      </c>
      <c r="AH42" s="10">
        <v>0</v>
      </c>
      <c r="AI42" s="13">
        <f t="shared" si="26"/>
        <v>0</v>
      </c>
      <c r="AJ42" s="13">
        <f t="shared" si="27"/>
        <v>0</v>
      </c>
      <c r="AK42">
        <v>0</v>
      </c>
      <c r="AL42" s="10">
        <v>0.2</v>
      </c>
      <c r="AM42" s="13">
        <f t="shared" si="28"/>
        <v>4.7945409683239994E-2</v>
      </c>
      <c r="AN42" s="13">
        <f t="shared" si="29"/>
        <v>0.19999999999999998</v>
      </c>
      <c r="AO42" t="s">
        <v>832</v>
      </c>
      <c r="AP42" s="10">
        <v>0.8</v>
      </c>
      <c r="AQ42" s="13">
        <f t="shared" si="30"/>
        <v>0.19178163873295997</v>
      </c>
      <c r="AR42" s="13">
        <f t="shared" si="31"/>
        <v>0.79999999999999993</v>
      </c>
      <c r="AS42" t="s">
        <v>832</v>
      </c>
      <c r="AT42" t="str">
        <f t="shared" si="32"/>
        <v>ENERO: 0 FEBRERO: 0 MARZO: 0 ABRIL: Informe gestión presupuestal en la actividad "Articular y mantener con las entidades distritales, nacionales e internacionales las relaciones para el fortalecimiento y modernización de la gestión pública distrital". MAYO: Informe gestión presupuestal en la actividad "Articular y mantener con las entidades distritales, nacionales e internacionales las relaciones para el fortalecimiento y modernización de la gestión pública distrital".</v>
      </c>
      <c r="AU42" s="14">
        <f t="shared" si="33"/>
        <v>1</v>
      </c>
      <c r="AV42" s="13">
        <f t="shared" si="34"/>
        <v>0.23972704841619996</v>
      </c>
      <c r="AW42" s="13">
        <f t="shared" si="35"/>
        <v>0.99999999999999989</v>
      </c>
      <c r="AX42" t="s">
        <v>826</v>
      </c>
      <c r="AY42" t="s">
        <v>829</v>
      </c>
      <c r="AZ42" t="s">
        <v>830</v>
      </c>
      <c r="BD42" t="str">
        <f t="shared" si="36"/>
        <v>Apoyar la consolidacion del modelo de Asociaciones Público Privadas en las entidades del Distrito Capital.Articular y mantener con las entidades distritales, nacionales e internacionales las relaciones para el fortalecimiento y modernización de la gestión pública distrital.Realizar el seguimiento de forma transversal a los planes, programas y proyectos prioritarios de la administración distrital para el cumplimiento del Plan de Desarrollo "Bogotá Mejor para Todos"</v>
      </c>
      <c r="BE42" t="e">
        <f>+VLOOKUP($N42,P1081_3,MATCH(BE$3,PAAC!#REF!,0),0)</f>
        <v>#NAME?</v>
      </c>
      <c r="BF42" t="e">
        <f>+VLOOKUP($N42,P1081_3,MATCH(BF$3,PAAC!#REF!,0),0)</f>
        <v>#NAME?</v>
      </c>
      <c r="BG42" t="e">
        <f>+VLOOKUP($N42,P1081_3,MATCH(BG$3,PAAC!#REF!,0),0)</f>
        <v>#NAME?</v>
      </c>
      <c r="BH42" t="e">
        <f>+VLOOKUP($N42,P1081_3,MATCH(BH$3,PAAC!#REF!,0),0)</f>
        <v>#NAME?</v>
      </c>
      <c r="BI42" t="e">
        <f>+VLOOKUP($N42,P1081_3,MATCH(BI$3,PAAC!#REF!,0),0)</f>
        <v>#NAME?</v>
      </c>
      <c r="BJ42" t="str">
        <f t="shared" si="37"/>
        <v/>
      </c>
    </row>
    <row r="43" spans="1:62" x14ac:dyDescent="0.3">
      <c r="A43">
        <v>10</v>
      </c>
      <c r="B43">
        <v>1125</v>
      </c>
      <c r="C43" t="s">
        <v>86</v>
      </c>
      <c r="D43">
        <v>1</v>
      </c>
      <c r="E43" t="s">
        <v>821</v>
      </c>
      <c r="F43" t="s">
        <v>596</v>
      </c>
      <c r="G43" t="s">
        <v>669</v>
      </c>
      <c r="H43" t="s">
        <v>83</v>
      </c>
      <c r="I43" t="s">
        <v>822</v>
      </c>
      <c r="J43" t="s">
        <v>823</v>
      </c>
      <c r="K43" t="s">
        <v>824</v>
      </c>
      <c r="L43" t="s">
        <v>601</v>
      </c>
      <c r="M43" t="s">
        <v>639</v>
      </c>
      <c r="N43" t="str">
        <f t="shared" si="20"/>
        <v>10_3</v>
      </c>
      <c r="O43">
        <v>1</v>
      </c>
      <c r="P43" s="13">
        <v>1</v>
      </c>
      <c r="Q43">
        <v>3</v>
      </c>
      <c r="R43" t="s">
        <v>833</v>
      </c>
      <c r="S43" t="s">
        <v>830</v>
      </c>
      <c r="T43" t="s">
        <v>827</v>
      </c>
      <c r="U43" s="13">
        <v>2.8838485121374682E-2</v>
      </c>
      <c r="V43" s="13">
        <f t="shared" si="21"/>
        <v>0.11572289883754175</v>
      </c>
      <c r="W43" s="13">
        <f t="shared" si="19"/>
        <v>0.24920292708757455</v>
      </c>
      <c r="X43" s="9">
        <v>43862</v>
      </c>
      <c r="Y43" s="9">
        <v>43982</v>
      </c>
      <c r="Z43" s="10">
        <v>0</v>
      </c>
      <c r="AA43" s="13">
        <f t="shared" si="22"/>
        <v>0</v>
      </c>
      <c r="AB43" s="13">
        <f t="shared" si="23"/>
        <v>0</v>
      </c>
      <c r="AC43">
        <v>0</v>
      </c>
      <c r="AD43" s="10">
        <v>0</v>
      </c>
      <c r="AE43" s="13">
        <f t="shared" si="24"/>
        <v>0</v>
      </c>
      <c r="AF43" s="13">
        <f t="shared" si="25"/>
        <v>0</v>
      </c>
      <c r="AG43">
        <v>0</v>
      </c>
      <c r="AH43" s="10">
        <v>0</v>
      </c>
      <c r="AI43" s="13">
        <f t="shared" si="26"/>
        <v>0</v>
      </c>
      <c r="AJ43" s="13">
        <f t="shared" si="27"/>
        <v>0</v>
      </c>
      <c r="AK43">
        <v>0</v>
      </c>
      <c r="AL43" s="10">
        <v>0.2</v>
      </c>
      <c r="AM43" s="13">
        <f t="shared" si="28"/>
        <v>4.9840585417514911E-2</v>
      </c>
      <c r="AN43" s="13">
        <f t="shared" si="29"/>
        <v>0.19999999999999998</v>
      </c>
      <c r="AO43" t="s">
        <v>834</v>
      </c>
      <c r="AP43" s="10">
        <v>0.8</v>
      </c>
      <c r="AQ43" s="13">
        <f t="shared" si="30"/>
        <v>0.19936234167005965</v>
      </c>
      <c r="AR43" s="13">
        <f t="shared" si="31"/>
        <v>0.79999999999999993</v>
      </c>
      <c r="AS43" t="s">
        <v>834</v>
      </c>
      <c r="AT43" t="str">
        <f t="shared" si="32"/>
        <v>ENERO: 0 FEBRERO: 0 MARZO: 0 ABRIL: Informe gestión presupuestal en la actividad "Realizar el seguimiento de forma transversal a los planes, programas y proyectos prioritarios de la administración distrital para el cumplimiento del Plan de Desarrollo "Bogotá Mejor para Todos"". MAYO: Informe gestión presupuestal en la actividad "Realizar el seguimiento de forma transversal a los planes, programas y proyectos prioritarios de la administración distrital para el cumplimiento del Plan de Desarrollo "Bogotá Mejor para Todos"".</v>
      </c>
      <c r="AU43" s="14">
        <f t="shared" si="33"/>
        <v>1</v>
      </c>
      <c r="AV43" s="13">
        <f t="shared" si="34"/>
        <v>0.24920292708757455</v>
      </c>
      <c r="AW43" s="13">
        <f t="shared" si="35"/>
        <v>0.99999999999999989</v>
      </c>
      <c r="AX43" t="s">
        <v>826</v>
      </c>
      <c r="AY43" t="s">
        <v>829</v>
      </c>
      <c r="AZ43" t="s">
        <v>830</v>
      </c>
      <c r="BD43" t="str">
        <f t="shared" si="36"/>
        <v>Apoyar la consolidacion del modelo de Asociaciones Público Privadas en las entidades del Distrito Capital.Articular y mantener con las entidades distritales, nacionales e internacionales las relaciones para el fortalecimiento y modernización de la gestión pública distrital.Realizar el seguimiento de forma transversal a los planes, programas y proyectos prioritarios de la administración distrital para el cumplimiento del Plan de Desarrollo "Bogotá Mejor para Todos"</v>
      </c>
      <c r="BE43" t="e">
        <f>+VLOOKUP($N43,P1081_3,MATCH(BE$3,PAAC!#REF!,0),0)</f>
        <v>#NAME?</v>
      </c>
      <c r="BF43" t="e">
        <f>+VLOOKUP($N43,P1081_3,MATCH(BF$3,PAAC!#REF!,0),0)</f>
        <v>#NAME?</v>
      </c>
      <c r="BG43" t="e">
        <f>+VLOOKUP($N43,P1081_3,MATCH(BG$3,PAAC!#REF!,0),0)</f>
        <v>#NAME?</v>
      </c>
      <c r="BH43" t="e">
        <f>+VLOOKUP($N43,P1081_3,MATCH(BH$3,PAAC!#REF!,0),0)</f>
        <v>#NAME?</v>
      </c>
      <c r="BI43" t="e">
        <f>+VLOOKUP($N43,P1081_3,MATCH(BI$3,PAAC!#REF!,0),0)</f>
        <v>#NAME?</v>
      </c>
      <c r="BJ43" t="str">
        <f t="shared" si="37"/>
        <v/>
      </c>
    </row>
    <row r="44" spans="1:62" x14ac:dyDescent="0.3">
      <c r="A44" t="s">
        <v>835</v>
      </c>
      <c r="B44">
        <v>1125</v>
      </c>
      <c r="C44" t="s">
        <v>86</v>
      </c>
      <c r="D44">
        <v>2</v>
      </c>
      <c r="E44" t="s">
        <v>836</v>
      </c>
      <c r="F44" t="s">
        <v>596</v>
      </c>
      <c r="G44" t="s">
        <v>669</v>
      </c>
      <c r="H44" t="s">
        <v>83</v>
      </c>
      <c r="I44" t="s">
        <v>837</v>
      </c>
      <c r="J44" t="s">
        <v>838</v>
      </c>
      <c r="K44" t="s">
        <v>839</v>
      </c>
      <c r="L44" t="s">
        <v>601</v>
      </c>
      <c r="M44" t="s">
        <v>639</v>
      </c>
      <c r="N44" t="str">
        <f t="shared" si="20"/>
        <v>10A_1</v>
      </c>
      <c r="O44">
        <v>1</v>
      </c>
      <c r="P44" s="13">
        <v>1</v>
      </c>
      <c r="Q44">
        <v>1</v>
      </c>
      <c r="R44" t="s">
        <v>840</v>
      </c>
      <c r="S44" t="s">
        <v>841</v>
      </c>
      <c r="T44" t="s">
        <v>827</v>
      </c>
      <c r="U44" s="13">
        <v>2.2049548454710761E-2</v>
      </c>
      <c r="V44" s="13">
        <f t="shared" si="21"/>
        <v>7.3909644391091531E-2</v>
      </c>
      <c r="W44" s="13">
        <f t="shared" si="19"/>
        <v>0.29833113981763976</v>
      </c>
      <c r="X44" s="9">
        <v>43862</v>
      </c>
      <c r="Y44" s="9">
        <v>43982</v>
      </c>
      <c r="Z44" s="10">
        <v>0</v>
      </c>
      <c r="AA44" s="13">
        <f t="shared" si="22"/>
        <v>0</v>
      </c>
      <c r="AB44" s="13">
        <f t="shared" si="23"/>
        <v>0</v>
      </c>
      <c r="AC44">
        <v>0</v>
      </c>
      <c r="AD44" s="10">
        <v>0</v>
      </c>
      <c r="AE44" s="13">
        <f t="shared" si="24"/>
        <v>0</v>
      </c>
      <c r="AF44" s="13">
        <f t="shared" si="25"/>
        <v>0</v>
      </c>
      <c r="AG44">
        <v>0</v>
      </c>
      <c r="AH44" s="10">
        <v>0</v>
      </c>
      <c r="AI44" s="13">
        <f t="shared" si="26"/>
        <v>0</v>
      </c>
      <c r="AJ44" s="13">
        <f t="shared" si="27"/>
        <v>0</v>
      </c>
      <c r="AK44">
        <v>0</v>
      </c>
      <c r="AL44" s="10">
        <v>0.2</v>
      </c>
      <c r="AM44" s="13">
        <f t="shared" si="28"/>
        <v>5.9666227963527954E-2</v>
      </c>
      <c r="AN44" s="13">
        <f t="shared" si="29"/>
        <v>0.2</v>
      </c>
      <c r="AO44" t="s">
        <v>842</v>
      </c>
      <c r="AP44" s="10">
        <v>0.8</v>
      </c>
      <c r="AQ44" s="13">
        <f t="shared" si="30"/>
        <v>0.23866491185411182</v>
      </c>
      <c r="AR44" s="13">
        <f t="shared" si="31"/>
        <v>0.8</v>
      </c>
      <c r="AS44" t="s">
        <v>842</v>
      </c>
      <c r="AT44" t="str">
        <f t="shared" si="32"/>
        <v>ENERO: 0 FEBRERO: 0 MARZO: 0 ABRIL: Informe gestión presupuestal en la actividad "Apoyar tecnicamente el desarrollo de actividades dirigidas al fortalecimiento y modernizacion de la gestion publica distrital". MAYO: Informe gestión presupuestal en la actividad "Apoyar tecnicamente el desarrollo de actividades dirigidas al fortalecimiento y modernizacion de la gestion publica distrital".</v>
      </c>
      <c r="AU44" s="14">
        <f t="shared" si="33"/>
        <v>1</v>
      </c>
      <c r="AV44" s="13">
        <f t="shared" si="34"/>
        <v>0.29833113981763976</v>
      </c>
      <c r="AW44" s="13">
        <f t="shared" si="35"/>
        <v>1</v>
      </c>
      <c r="AX44" t="s">
        <v>841</v>
      </c>
      <c r="AY44" t="s">
        <v>843</v>
      </c>
      <c r="BD44" t="str">
        <f t="shared" si="36"/>
        <v>Apoyar tecnicamente el desarrollo de actividades dirigidas al fortalecimiento y modernizacion de la gestion publica distrital.Coordinar la estrategia interna e interinstitucional, logística y de operaciones del despacho del Alcalde Mayor para llevar a cabo la articulación de la agenda gubernamental</v>
      </c>
      <c r="BE44" t="e">
        <f>+VLOOKUP($N44,P1081_3,MATCH(BE$3,PAAC!#REF!,0),0)</f>
        <v>#NAME?</v>
      </c>
      <c r="BF44" t="e">
        <f>+VLOOKUP($N44,P1081_3,MATCH(BF$3,PAAC!#REF!,0),0)</f>
        <v>#NAME?</v>
      </c>
      <c r="BG44" t="e">
        <f>+VLOOKUP($N44,P1081_3,MATCH(BG$3,PAAC!#REF!,0),0)</f>
        <v>#NAME?</v>
      </c>
      <c r="BH44" t="e">
        <f>+VLOOKUP($N44,P1081_3,MATCH(BH$3,PAAC!#REF!,0),0)</f>
        <v>#NAME?</v>
      </c>
      <c r="BI44" t="e">
        <f>+VLOOKUP($N44,P1081_3,MATCH(BI$3,PAAC!#REF!,0),0)</f>
        <v>#NAME?</v>
      </c>
      <c r="BJ44" t="str">
        <f t="shared" si="37"/>
        <v/>
      </c>
    </row>
    <row r="45" spans="1:62" x14ac:dyDescent="0.3">
      <c r="A45" t="s">
        <v>835</v>
      </c>
      <c r="B45">
        <v>1125</v>
      </c>
      <c r="C45" t="s">
        <v>86</v>
      </c>
      <c r="D45">
        <v>2</v>
      </c>
      <c r="E45" t="s">
        <v>836</v>
      </c>
      <c r="F45" t="s">
        <v>596</v>
      </c>
      <c r="G45" t="s">
        <v>669</v>
      </c>
      <c r="H45" t="s">
        <v>83</v>
      </c>
      <c r="I45" t="s">
        <v>837</v>
      </c>
      <c r="J45" t="s">
        <v>838</v>
      </c>
      <c r="K45" t="s">
        <v>839</v>
      </c>
      <c r="L45" t="s">
        <v>601</v>
      </c>
      <c r="M45" t="s">
        <v>639</v>
      </c>
      <c r="N45" t="str">
        <f t="shared" si="20"/>
        <v>10A_2</v>
      </c>
      <c r="O45">
        <v>1</v>
      </c>
      <c r="P45" s="13">
        <v>1</v>
      </c>
      <c r="Q45">
        <v>2</v>
      </c>
      <c r="R45" t="s">
        <v>844</v>
      </c>
      <c r="S45" t="s">
        <v>843</v>
      </c>
      <c r="T45" t="s">
        <v>827</v>
      </c>
      <c r="U45" s="13">
        <v>5.1860095936380766E-2</v>
      </c>
      <c r="V45" s="13">
        <f t="shared" si="21"/>
        <v>7.3909644391091531E-2</v>
      </c>
      <c r="W45" s="13">
        <f t="shared" si="19"/>
        <v>0.70166886018236019</v>
      </c>
      <c r="X45" s="9">
        <v>43862</v>
      </c>
      <c r="Y45" s="9">
        <v>43982</v>
      </c>
      <c r="Z45" s="10">
        <v>0</v>
      </c>
      <c r="AA45" s="13">
        <f t="shared" si="22"/>
        <v>0</v>
      </c>
      <c r="AB45" s="13">
        <f t="shared" si="23"/>
        <v>0</v>
      </c>
      <c r="AC45">
        <v>0</v>
      </c>
      <c r="AD45" s="10">
        <v>0</v>
      </c>
      <c r="AE45" s="13">
        <f t="shared" si="24"/>
        <v>0</v>
      </c>
      <c r="AF45" s="13">
        <f t="shared" si="25"/>
        <v>0</v>
      </c>
      <c r="AG45">
        <v>0</v>
      </c>
      <c r="AH45" s="10">
        <v>0</v>
      </c>
      <c r="AI45" s="13">
        <f t="shared" si="26"/>
        <v>0</v>
      </c>
      <c r="AJ45" s="13">
        <f t="shared" si="27"/>
        <v>0</v>
      </c>
      <c r="AK45">
        <v>0</v>
      </c>
      <c r="AL45" s="10">
        <v>0.2</v>
      </c>
      <c r="AM45" s="13">
        <f t="shared" si="28"/>
        <v>0.14033377203647204</v>
      </c>
      <c r="AN45" s="13">
        <f t="shared" si="29"/>
        <v>0.2</v>
      </c>
      <c r="AO45" t="s">
        <v>845</v>
      </c>
      <c r="AP45" s="10">
        <v>0.8</v>
      </c>
      <c r="AQ45" s="13">
        <f t="shared" si="30"/>
        <v>0.56133508814588817</v>
      </c>
      <c r="AR45" s="13">
        <f t="shared" si="31"/>
        <v>0.8</v>
      </c>
      <c r="AS45" t="s">
        <v>845</v>
      </c>
      <c r="AT45" t="str">
        <f t="shared" si="32"/>
        <v>ENERO: 0 FEBRERO: 0 MARZO: 0 ABRIL: Informe gestión presupuestal en la actividad "Coordinar la estrategia interna e interinstitucional, logística y de operaciones del despacho del Alcalde Mayor para llevar a cabo la articulación de la agenda gubernamental". MAYO: Informe gestión presupuestal en la actividad "Coordinar la estrategia interna e interinstitucional, logística y de operaciones del despacho del Alcalde Mayor para llevar a cabo la articulación de la agenda gubernamental".</v>
      </c>
      <c r="AU45" s="14">
        <f t="shared" si="33"/>
        <v>1</v>
      </c>
      <c r="AV45" s="13">
        <f t="shared" si="34"/>
        <v>0.70166886018236019</v>
      </c>
      <c r="AW45" s="13">
        <f t="shared" si="35"/>
        <v>1</v>
      </c>
      <c r="AX45" t="s">
        <v>841</v>
      </c>
      <c r="AY45" t="s">
        <v>843</v>
      </c>
      <c r="BD45" t="str">
        <f t="shared" si="36"/>
        <v>Apoyar tecnicamente el desarrollo de actividades dirigidas al fortalecimiento y modernizacion de la gestion publica distrital.Coordinar la estrategia interna e interinstitucional, logística y de operaciones del despacho del Alcalde Mayor para llevar a cabo la articulación de la agenda gubernamental</v>
      </c>
      <c r="BE45" t="e">
        <f>+VLOOKUP($N45,P1081_3,MATCH(BE$3,PAAC!#REF!,0),0)</f>
        <v>#NAME?</v>
      </c>
      <c r="BF45" t="e">
        <f>+VLOOKUP($N45,P1081_3,MATCH(BF$3,PAAC!#REF!,0),0)</f>
        <v>#NAME?</v>
      </c>
      <c r="BG45" t="e">
        <f>+VLOOKUP($N45,P1081_3,MATCH(BG$3,PAAC!#REF!,0),0)</f>
        <v>#NAME?</v>
      </c>
      <c r="BH45" t="e">
        <f>+VLOOKUP($N45,P1081_3,MATCH(BH$3,PAAC!#REF!,0),0)</f>
        <v>#NAME?</v>
      </c>
      <c r="BI45" t="e">
        <f>+VLOOKUP($N45,P1081_3,MATCH(BI$3,PAAC!#REF!,0),0)</f>
        <v>#NAME?</v>
      </c>
      <c r="BJ45" t="str">
        <f t="shared" si="37"/>
        <v/>
      </c>
    </row>
    <row r="46" spans="1:62" x14ac:dyDescent="0.3">
      <c r="A46">
        <v>52</v>
      </c>
      <c r="B46">
        <v>1126</v>
      </c>
      <c r="C46" t="s">
        <v>130</v>
      </c>
      <c r="D46">
        <v>16</v>
      </c>
      <c r="E46" t="s">
        <v>846</v>
      </c>
      <c r="F46" t="s">
        <v>596</v>
      </c>
      <c r="G46" t="s">
        <v>669</v>
      </c>
      <c r="H46" t="s">
        <v>127</v>
      </c>
      <c r="I46" t="s">
        <v>847</v>
      </c>
      <c r="J46" t="s">
        <v>848</v>
      </c>
      <c r="K46" t="s">
        <v>849</v>
      </c>
      <c r="L46" t="s">
        <v>601</v>
      </c>
      <c r="M46" t="s">
        <v>639</v>
      </c>
      <c r="N46" t="str">
        <f t="shared" si="20"/>
        <v>52_1</v>
      </c>
      <c r="O46">
        <v>3</v>
      </c>
      <c r="P46" s="13"/>
      <c r="Q46">
        <v>1</v>
      </c>
      <c r="R46" t="s">
        <v>850</v>
      </c>
      <c r="S46" t="s">
        <v>851</v>
      </c>
      <c r="T46" t="s">
        <v>852</v>
      </c>
      <c r="U46" s="13">
        <v>0.1</v>
      </c>
      <c r="V46" s="13">
        <f t="shared" si="21"/>
        <v>0.25</v>
      </c>
      <c r="W46" s="13">
        <f t="shared" si="18"/>
        <v>0.4</v>
      </c>
      <c r="X46" s="9">
        <v>43831</v>
      </c>
      <c r="Y46" s="9">
        <v>43982</v>
      </c>
      <c r="Z46" s="10">
        <v>0.2</v>
      </c>
      <c r="AA46" s="13">
        <f t="shared" si="22"/>
        <v>8.0000000000000016E-2</v>
      </c>
      <c r="AB46" s="13">
        <f t="shared" si="23"/>
        <v>0.14000000000000001</v>
      </c>
      <c r="AC46" t="s">
        <v>853</v>
      </c>
      <c r="AD46" s="10">
        <v>0.2</v>
      </c>
      <c r="AE46" s="13">
        <f t="shared" si="24"/>
        <v>8.0000000000000016E-2</v>
      </c>
      <c r="AF46" s="13">
        <f t="shared" si="25"/>
        <v>0.14000000000000001</v>
      </c>
      <c r="AG46" t="s">
        <v>853</v>
      </c>
      <c r="AH46" s="10">
        <v>0.2</v>
      </c>
      <c r="AI46" s="13">
        <f t="shared" si="26"/>
        <v>8.0000000000000016E-2</v>
      </c>
      <c r="AJ46" s="13">
        <f t="shared" si="27"/>
        <v>0.23</v>
      </c>
      <c r="AK46" t="s">
        <v>853</v>
      </c>
      <c r="AL46" s="10">
        <v>0.2</v>
      </c>
      <c r="AM46" s="13">
        <f t="shared" si="28"/>
        <v>8.0000000000000016E-2</v>
      </c>
      <c r="AN46" s="13">
        <f t="shared" si="29"/>
        <v>0.23</v>
      </c>
      <c r="AO46" t="s">
        <v>853</v>
      </c>
      <c r="AP46" s="10">
        <v>0.2</v>
      </c>
      <c r="AQ46" s="13">
        <f t="shared" si="30"/>
        <v>8.0000000000000016E-2</v>
      </c>
      <c r="AR46" s="13">
        <f t="shared" si="31"/>
        <v>0.26</v>
      </c>
      <c r="AS46" t="s">
        <v>853</v>
      </c>
      <c r="AT46" t="str">
        <f t="shared" si="32"/>
        <v>ENERO: 1. Reporte del número promedio de días de direccionamiento.
2. Informes de monitoreo (mes vencido) FEBRERO: 1. Reporte del número promedio de días de direccionamiento.
2. Informes de monitoreo (mes vencido) MARZO: 1. Reporte del número promedio de días de direccionamiento.
2. Informes de monitoreo (mes vencido) ABRIL: 1. Reporte del número promedio de días de direccionamiento.
2. Informes de monitoreo (mes vencido) MAYO: 1. Reporte del número promedio de días de direccionamiento.
2. Informes de monitoreo (mes vencido)</v>
      </c>
      <c r="AU46" s="14">
        <f t="shared" si="33"/>
        <v>1</v>
      </c>
      <c r="AV46" s="13">
        <f t="shared" si="34"/>
        <v>0.4</v>
      </c>
      <c r="AW46" s="13">
        <f t="shared" si="35"/>
        <v>1</v>
      </c>
      <c r="AX46" t="s">
        <v>851</v>
      </c>
      <c r="AY46" t="s">
        <v>854</v>
      </c>
      <c r="AZ46" t="s">
        <v>855</v>
      </c>
      <c r="BD46" t="str">
        <f t="shared" si="36"/>
        <v>Evaluar la satisfacción del ciudadano por el servicio prestados en los diferentes canales de atenciónImplementar Inteligencia de Negocios para los Sistemas de Información de la SSCOptimizar los sistemas de información de la Subsecretaría de Servicio a la Ciudadanía</v>
      </c>
      <c r="BE46" t="e">
        <f>+VLOOKUP($N46,P1081_3,MATCH(BE$3,PAAC!#REF!,0),0)</f>
        <v>#NAME?</v>
      </c>
      <c r="BF46" t="e">
        <f>+VLOOKUP($N46,P1081_3,MATCH(BF$3,PAAC!#REF!,0),0)</f>
        <v>#NAME?</v>
      </c>
      <c r="BG46" t="e">
        <f>+VLOOKUP($N46,P1081_3,MATCH(BG$3,PAAC!#REF!,0),0)</f>
        <v>#NAME?</v>
      </c>
      <c r="BH46" t="e">
        <f>+VLOOKUP($N46,P1081_3,MATCH(BH$3,PAAC!#REF!,0),0)</f>
        <v>#NAME?</v>
      </c>
      <c r="BI46" t="e">
        <f>+VLOOKUP($N46,P1081_3,MATCH(BI$3,PAAC!#REF!,0),0)</f>
        <v>#NAME?</v>
      </c>
      <c r="BJ46" t="str">
        <f t="shared" si="37"/>
        <v/>
      </c>
    </row>
    <row r="47" spans="1:62" x14ac:dyDescent="0.3">
      <c r="A47">
        <v>52</v>
      </c>
      <c r="B47">
        <v>1126</v>
      </c>
      <c r="C47" t="s">
        <v>130</v>
      </c>
      <c r="D47">
        <v>16</v>
      </c>
      <c r="E47" t="s">
        <v>846</v>
      </c>
      <c r="F47" t="s">
        <v>596</v>
      </c>
      <c r="G47" t="s">
        <v>669</v>
      </c>
      <c r="H47" t="s">
        <v>127</v>
      </c>
      <c r="I47" t="s">
        <v>847</v>
      </c>
      <c r="J47" t="s">
        <v>848</v>
      </c>
      <c r="K47" t="s">
        <v>849</v>
      </c>
      <c r="L47" t="s">
        <v>601</v>
      </c>
      <c r="M47" t="s">
        <v>639</v>
      </c>
      <c r="N47" t="str">
        <f t="shared" si="20"/>
        <v>52_2</v>
      </c>
      <c r="O47">
        <v>3</v>
      </c>
      <c r="P47" s="13"/>
      <c r="Q47">
        <v>2</v>
      </c>
      <c r="R47" t="s">
        <v>856</v>
      </c>
      <c r="S47" t="s">
        <v>854</v>
      </c>
      <c r="T47" t="s">
        <v>852</v>
      </c>
      <c r="U47" s="13">
        <v>7.4999999999999997E-2</v>
      </c>
      <c r="V47" s="13">
        <f t="shared" si="21"/>
        <v>0.25</v>
      </c>
      <c r="W47" s="13">
        <f t="shared" si="18"/>
        <v>0.3</v>
      </c>
      <c r="X47" s="9">
        <v>43831</v>
      </c>
      <c r="Y47" s="9">
        <v>43982</v>
      </c>
      <c r="Z47" s="10">
        <v>0.2</v>
      </c>
      <c r="AA47" s="13">
        <f t="shared" si="22"/>
        <v>0.06</v>
      </c>
      <c r="AB47" s="13">
        <f t="shared" si="23"/>
        <v>0.14000000000000001</v>
      </c>
      <c r="AC47" t="s">
        <v>857</v>
      </c>
      <c r="AD47" s="10">
        <v>0.2</v>
      </c>
      <c r="AE47" s="13">
        <f t="shared" si="24"/>
        <v>0.06</v>
      </c>
      <c r="AF47" s="13">
        <f t="shared" si="25"/>
        <v>0.14000000000000001</v>
      </c>
      <c r="AG47" t="s">
        <v>857</v>
      </c>
      <c r="AH47" s="10">
        <v>0.2</v>
      </c>
      <c r="AI47" s="13">
        <f t="shared" si="26"/>
        <v>0.06</v>
      </c>
      <c r="AJ47" s="13">
        <f t="shared" si="27"/>
        <v>0.23</v>
      </c>
      <c r="AK47" t="s">
        <v>857</v>
      </c>
      <c r="AL47" s="10">
        <v>0.2</v>
      </c>
      <c r="AM47" s="13">
        <f t="shared" si="28"/>
        <v>0.06</v>
      </c>
      <c r="AN47" s="13">
        <f t="shared" si="29"/>
        <v>0.23</v>
      </c>
      <c r="AO47" t="s">
        <v>857</v>
      </c>
      <c r="AP47" s="10">
        <v>0.2</v>
      </c>
      <c r="AQ47" s="13">
        <f t="shared" si="30"/>
        <v>0.06</v>
      </c>
      <c r="AR47" s="13">
        <f t="shared" si="31"/>
        <v>0.26</v>
      </c>
      <c r="AS47" t="s">
        <v>857</v>
      </c>
      <c r="AT47" t="str">
        <f t="shared" si="32"/>
        <v>ENERO: Reporte del número de consultas en el mes utilizando el buscador inteligente. FEBRERO: Reporte del número de consultas en el mes utilizando el buscador inteligente. MARZO: Reporte del número de consultas en el mes utilizando el buscador inteligente. ABRIL: Reporte del número de consultas en el mes utilizando el buscador inteligente. MAYO: Reporte del número de consultas en el mes utilizando el buscador inteligente.</v>
      </c>
      <c r="AU47" s="14">
        <f t="shared" si="33"/>
        <v>1</v>
      </c>
      <c r="AV47" s="13">
        <f t="shared" si="34"/>
        <v>0.3</v>
      </c>
      <c r="AW47" s="13">
        <f t="shared" si="35"/>
        <v>1</v>
      </c>
      <c r="AX47" t="s">
        <v>851</v>
      </c>
      <c r="AY47" t="s">
        <v>854</v>
      </c>
      <c r="AZ47" t="s">
        <v>855</v>
      </c>
      <c r="BD47" t="str">
        <f t="shared" si="36"/>
        <v>Evaluar la satisfacción del ciudadano por el servicio prestados en los diferentes canales de atenciónImplementar Inteligencia de Negocios para los Sistemas de Información de la SSCOptimizar los sistemas de información de la Subsecretaría de Servicio a la Ciudadanía</v>
      </c>
      <c r="BE47" t="e">
        <f>+VLOOKUP($N47,P1081_3,MATCH(BE$3,PAAC!#REF!,0),0)</f>
        <v>#NAME?</v>
      </c>
      <c r="BF47" t="e">
        <f>+VLOOKUP($N47,P1081_3,MATCH(BF$3,PAAC!#REF!,0),0)</f>
        <v>#NAME?</v>
      </c>
      <c r="BG47" t="e">
        <f>+VLOOKUP($N47,P1081_3,MATCH(BG$3,PAAC!#REF!,0),0)</f>
        <v>#NAME?</v>
      </c>
      <c r="BH47" t="e">
        <f>+VLOOKUP($N47,P1081_3,MATCH(BH$3,PAAC!#REF!,0),0)</f>
        <v>#NAME?</v>
      </c>
      <c r="BI47" t="e">
        <f>+VLOOKUP($N47,P1081_3,MATCH(BI$3,PAAC!#REF!,0),0)</f>
        <v>#NAME?</v>
      </c>
      <c r="BJ47" t="str">
        <f t="shared" si="37"/>
        <v/>
      </c>
    </row>
    <row r="48" spans="1:62" x14ac:dyDescent="0.3">
      <c r="A48">
        <v>52</v>
      </c>
      <c r="B48">
        <v>1126</v>
      </c>
      <c r="C48" t="s">
        <v>130</v>
      </c>
      <c r="D48">
        <v>16</v>
      </c>
      <c r="E48" t="s">
        <v>846</v>
      </c>
      <c r="F48" t="s">
        <v>596</v>
      </c>
      <c r="G48" t="s">
        <v>669</v>
      </c>
      <c r="H48" t="s">
        <v>127</v>
      </c>
      <c r="I48" t="s">
        <v>847</v>
      </c>
      <c r="J48" t="s">
        <v>848</v>
      </c>
      <c r="K48" t="s">
        <v>849</v>
      </c>
      <c r="L48" t="s">
        <v>601</v>
      </c>
      <c r="M48" t="s">
        <v>639</v>
      </c>
      <c r="N48" t="str">
        <f t="shared" si="20"/>
        <v>52_3</v>
      </c>
      <c r="O48">
        <v>3</v>
      </c>
      <c r="P48" s="13"/>
      <c r="Q48">
        <v>3</v>
      </c>
      <c r="R48" t="s">
        <v>858</v>
      </c>
      <c r="S48" t="s">
        <v>855</v>
      </c>
      <c r="T48" t="s">
        <v>852</v>
      </c>
      <c r="U48" s="13">
        <v>7.4999999999999997E-2</v>
      </c>
      <c r="V48" s="13">
        <f t="shared" si="21"/>
        <v>0.25</v>
      </c>
      <c r="W48" s="13">
        <f t="shared" si="18"/>
        <v>0.3</v>
      </c>
      <c r="X48" s="9">
        <v>43831</v>
      </c>
      <c r="Y48" s="9">
        <v>43982</v>
      </c>
      <c r="Z48" s="10">
        <v>0</v>
      </c>
      <c r="AA48" s="13">
        <f t="shared" si="22"/>
        <v>0</v>
      </c>
      <c r="AB48" s="13">
        <f t="shared" si="23"/>
        <v>0.14000000000000001</v>
      </c>
      <c r="AC48" t="s">
        <v>859</v>
      </c>
      <c r="AD48" s="10">
        <v>0</v>
      </c>
      <c r="AE48" s="13">
        <f t="shared" si="24"/>
        <v>0</v>
      </c>
      <c r="AF48" s="13">
        <f t="shared" si="25"/>
        <v>0.14000000000000001</v>
      </c>
      <c r="AG48" t="s">
        <v>859</v>
      </c>
      <c r="AH48" s="10">
        <v>0.3</v>
      </c>
      <c r="AI48" s="13">
        <f t="shared" si="26"/>
        <v>0.09</v>
      </c>
      <c r="AJ48" s="13">
        <f t="shared" si="27"/>
        <v>0.23</v>
      </c>
      <c r="AK48" t="s">
        <v>860</v>
      </c>
      <c r="AL48" s="10">
        <v>0.3</v>
      </c>
      <c r="AM48" s="13">
        <f t="shared" si="28"/>
        <v>0.09</v>
      </c>
      <c r="AN48" s="13">
        <f t="shared" si="29"/>
        <v>0.23</v>
      </c>
      <c r="AO48" t="s">
        <v>860</v>
      </c>
      <c r="AP48" s="10">
        <v>0.4</v>
      </c>
      <c r="AQ48" s="13">
        <f t="shared" si="30"/>
        <v>0.12</v>
      </c>
      <c r="AR48" s="13">
        <f t="shared" si="31"/>
        <v>0.26</v>
      </c>
      <c r="AS48" t="s">
        <v>861</v>
      </c>
      <c r="AT48" t="str">
        <f t="shared" si="32"/>
        <v>ENERO: - FEBRERO: - MARZO: Reporte del avance cualitativo de la gestión para la optimización de las herramientas tecnológicas. ABRIL: Reporte del avance cualitativo de la gestión para la optimización de las herramientas tecnológicas. MAYO: Informe de los sistemas optimizados</v>
      </c>
      <c r="AU48" s="14">
        <f t="shared" si="33"/>
        <v>1</v>
      </c>
      <c r="AV48" s="13">
        <f t="shared" si="34"/>
        <v>0.3</v>
      </c>
      <c r="AW48" s="13">
        <f t="shared" si="35"/>
        <v>1</v>
      </c>
      <c r="AX48" t="s">
        <v>851</v>
      </c>
      <c r="AY48" t="s">
        <v>854</v>
      </c>
      <c r="AZ48" t="s">
        <v>855</v>
      </c>
      <c r="BD48" t="str">
        <f t="shared" si="36"/>
        <v>Evaluar la satisfacción del ciudadano por el servicio prestados en los diferentes canales de atenciónImplementar Inteligencia de Negocios para los Sistemas de Información de la SSCOptimizar los sistemas de información de la Subsecretaría de Servicio a la Ciudadanía</v>
      </c>
      <c r="BE48" t="e">
        <f>+VLOOKUP($N48,P1081_3,MATCH(BE$3,PAAC!#REF!,0),0)</f>
        <v>#NAME?</v>
      </c>
      <c r="BF48" t="e">
        <f>+VLOOKUP($N48,P1081_3,MATCH(BF$3,PAAC!#REF!,0),0)</f>
        <v>#NAME?</v>
      </c>
      <c r="BG48" t="e">
        <f>+VLOOKUP($N48,P1081_3,MATCH(BG$3,PAAC!#REF!,0),0)</f>
        <v>#NAME?</v>
      </c>
      <c r="BH48" t="e">
        <f>+VLOOKUP($N48,P1081_3,MATCH(BH$3,PAAC!#REF!,0),0)</f>
        <v>#NAME?</v>
      </c>
      <c r="BI48" t="e">
        <f>+VLOOKUP($N48,P1081_3,MATCH(BI$3,PAAC!#REF!,0),0)</f>
        <v>#NAME?</v>
      </c>
      <c r="BJ48" t="str">
        <f t="shared" si="37"/>
        <v/>
      </c>
    </row>
    <row r="49" spans="1:62" x14ac:dyDescent="0.3">
      <c r="A49">
        <v>56</v>
      </c>
      <c r="B49">
        <v>1126</v>
      </c>
      <c r="C49" t="s">
        <v>130</v>
      </c>
      <c r="D49">
        <v>17</v>
      </c>
      <c r="E49" t="s">
        <v>862</v>
      </c>
      <c r="F49" t="s">
        <v>596</v>
      </c>
      <c r="G49" t="s">
        <v>669</v>
      </c>
      <c r="H49" t="s">
        <v>127</v>
      </c>
      <c r="I49" t="s">
        <v>863</v>
      </c>
      <c r="J49" t="s">
        <v>864</v>
      </c>
      <c r="K49" t="s">
        <v>865</v>
      </c>
      <c r="L49" t="s">
        <v>638</v>
      </c>
      <c r="M49" t="s">
        <v>639</v>
      </c>
      <c r="N49" t="str">
        <f t="shared" si="20"/>
        <v>56_1</v>
      </c>
      <c r="O49">
        <v>1</v>
      </c>
      <c r="P49" s="13"/>
      <c r="Q49">
        <v>1</v>
      </c>
      <c r="R49" t="s">
        <v>866</v>
      </c>
      <c r="S49" t="s">
        <v>867</v>
      </c>
      <c r="T49" t="s">
        <v>852</v>
      </c>
      <c r="U49" s="13">
        <v>0.25</v>
      </c>
      <c r="V49" s="13">
        <f t="shared" si="21"/>
        <v>0.25</v>
      </c>
      <c r="W49" s="13">
        <f t="shared" si="18"/>
        <v>1</v>
      </c>
      <c r="X49" s="9">
        <v>43831</v>
      </c>
      <c r="Y49" s="9">
        <v>43982</v>
      </c>
      <c r="Z49" s="10">
        <v>0</v>
      </c>
      <c r="AA49" s="13">
        <f t="shared" si="22"/>
        <v>0</v>
      </c>
      <c r="AB49" s="13">
        <f t="shared" si="23"/>
        <v>0</v>
      </c>
      <c r="AC49">
        <v>0</v>
      </c>
      <c r="AD49" s="10">
        <v>0</v>
      </c>
      <c r="AE49" s="13">
        <f t="shared" si="24"/>
        <v>0</v>
      </c>
      <c r="AF49" s="13">
        <f t="shared" si="25"/>
        <v>0</v>
      </c>
      <c r="AG49">
        <v>0</v>
      </c>
      <c r="AH49" s="10">
        <v>0</v>
      </c>
      <c r="AI49" s="13">
        <f t="shared" si="26"/>
        <v>0</v>
      </c>
      <c r="AJ49" s="13">
        <f t="shared" si="27"/>
        <v>0</v>
      </c>
      <c r="AK49">
        <v>0</v>
      </c>
      <c r="AL49" s="10">
        <v>0</v>
      </c>
      <c r="AM49" s="13">
        <f t="shared" si="28"/>
        <v>0</v>
      </c>
      <c r="AN49" s="13">
        <f t="shared" si="29"/>
        <v>0</v>
      </c>
      <c r="AO49">
        <v>0</v>
      </c>
      <c r="AP49" s="10">
        <v>1</v>
      </c>
      <c r="AQ49" s="13">
        <f t="shared" si="30"/>
        <v>1</v>
      </c>
      <c r="AR49" s="13">
        <f t="shared" si="31"/>
        <v>1</v>
      </c>
      <c r="AS49" t="s">
        <v>868</v>
      </c>
      <c r="AT49" t="str">
        <f t="shared" si="32"/>
        <v>ENERO: 0 FEBRERO: 0 MARZO: 0 ABRIL: 0 MAYO: Un documento de propuesta de racionalización, simplificación y virtualización de trámites.</v>
      </c>
      <c r="AU49" s="14">
        <f t="shared" si="33"/>
        <v>1</v>
      </c>
      <c r="AV49" s="13">
        <f t="shared" si="34"/>
        <v>1</v>
      </c>
      <c r="AW49" s="13">
        <f t="shared" si="35"/>
        <v>1</v>
      </c>
      <c r="AX49" t="s">
        <v>867</v>
      </c>
      <c r="BD49" t="str">
        <f t="shared" si="36"/>
        <v>Implementar la propuesta de simplificación, racionalización y virtualización de trámites</v>
      </c>
      <c r="BE49" t="e">
        <f>+VLOOKUP($N49,P1081_3,MATCH(BE$3,PAAC!#REF!,0),0)</f>
        <v>#NAME?</v>
      </c>
      <c r="BF49" t="e">
        <f>+VLOOKUP($N49,P1081_3,MATCH(BF$3,PAAC!#REF!,0),0)</f>
        <v>#NAME?</v>
      </c>
      <c r="BG49" t="e">
        <f>+VLOOKUP($N49,P1081_3,MATCH(BG$3,PAAC!#REF!,0),0)</f>
        <v>#NAME?</v>
      </c>
      <c r="BH49" t="e">
        <f>+VLOOKUP($N49,P1081_3,MATCH(BH$3,PAAC!#REF!,0),0)</f>
        <v>#NAME?</v>
      </c>
      <c r="BI49" t="e">
        <f>+VLOOKUP($N49,P1081_3,MATCH(BI$3,PAAC!#REF!,0),0)</f>
        <v>#NAME?</v>
      </c>
      <c r="BJ49" t="str">
        <f t="shared" si="37"/>
        <v/>
      </c>
    </row>
    <row r="50" spans="1:62" x14ac:dyDescent="0.3">
      <c r="A50">
        <v>58</v>
      </c>
      <c r="B50">
        <v>1126</v>
      </c>
      <c r="C50" t="s">
        <v>130</v>
      </c>
      <c r="D50">
        <v>10</v>
      </c>
      <c r="E50" t="s">
        <v>869</v>
      </c>
      <c r="F50" t="s">
        <v>596</v>
      </c>
      <c r="G50" t="s">
        <v>669</v>
      </c>
      <c r="H50" t="s">
        <v>127</v>
      </c>
      <c r="I50" t="s">
        <v>870</v>
      </c>
      <c r="J50" t="s">
        <v>871</v>
      </c>
      <c r="K50" t="s">
        <v>872</v>
      </c>
      <c r="L50" t="s">
        <v>638</v>
      </c>
      <c r="M50" t="s">
        <v>639</v>
      </c>
      <c r="N50" t="str">
        <f t="shared" si="20"/>
        <v>58_1</v>
      </c>
      <c r="O50">
        <v>9458964</v>
      </c>
      <c r="P50" s="13"/>
      <c r="Q50">
        <v>1</v>
      </c>
      <c r="R50" t="s">
        <v>873</v>
      </c>
      <c r="S50" t="s">
        <v>874</v>
      </c>
      <c r="T50" t="s">
        <v>852</v>
      </c>
      <c r="U50" s="13">
        <v>0.05</v>
      </c>
      <c r="V50" s="13">
        <f t="shared" si="21"/>
        <v>0.25</v>
      </c>
      <c r="W50" s="13">
        <f t="shared" si="18"/>
        <v>0.2</v>
      </c>
      <c r="X50" s="9">
        <v>43831</v>
      </c>
      <c r="Y50" s="9">
        <v>43982</v>
      </c>
      <c r="Z50" s="10">
        <v>0</v>
      </c>
      <c r="AA50" s="13">
        <f t="shared" si="22"/>
        <v>0</v>
      </c>
      <c r="AB50" s="13">
        <f t="shared" si="23"/>
        <v>7.400000000000001E-2</v>
      </c>
      <c r="AD50" s="10">
        <v>0</v>
      </c>
      <c r="AE50" s="13">
        <f t="shared" si="24"/>
        <v>0</v>
      </c>
      <c r="AF50" s="13">
        <f t="shared" si="25"/>
        <v>0.19800000000000001</v>
      </c>
      <c r="AG50">
        <v>0</v>
      </c>
      <c r="AH50" s="10">
        <v>1</v>
      </c>
      <c r="AI50" s="13">
        <f t="shared" si="26"/>
        <v>0.2</v>
      </c>
      <c r="AJ50" s="13">
        <f t="shared" si="27"/>
        <v>0.39800000000000002</v>
      </c>
      <c r="AK50" t="s">
        <v>875</v>
      </c>
      <c r="AL50" s="10">
        <v>0</v>
      </c>
      <c r="AM50" s="13">
        <f t="shared" si="28"/>
        <v>0</v>
      </c>
      <c r="AN50" s="13">
        <f t="shared" si="29"/>
        <v>0.16500000000000001</v>
      </c>
      <c r="AO50">
        <v>0</v>
      </c>
      <c r="AP50" s="10">
        <v>0</v>
      </c>
      <c r="AQ50" s="13">
        <f t="shared" si="30"/>
        <v>0</v>
      </c>
      <c r="AR50" s="13">
        <f t="shared" si="31"/>
        <v>0.16500000000000001</v>
      </c>
      <c r="AS50">
        <v>0</v>
      </c>
      <c r="AT50" t="str">
        <f t="shared" si="32"/>
        <v>ENERO:  FEBRERO: 0 MARZO: Contrato de Bolsa Logística ABRIL: 0 MAYO: 0</v>
      </c>
      <c r="AU50" s="14">
        <f t="shared" si="33"/>
        <v>1</v>
      </c>
      <c r="AV50" s="13">
        <f t="shared" si="34"/>
        <v>0.2</v>
      </c>
      <c r="AW50" s="13">
        <f t="shared" si="35"/>
        <v>1</v>
      </c>
      <c r="AX50" t="s">
        <v>874</v>
      </c>
      <c r="AY50" t="s">
        <v>876</v>
      </c>
      <c r="AZ50" t="s">
        <v>877</v>
      </c>
      <c r="BA50" t="s">
        <v>878</v>
      </c>
      <c r="BD50" t="str">
        <f t="shared" si="36"/>
        <v>Contratar Bolsa LogísticaMejoramiento de infraestructura físicaMejoramiento de servicio y contratación de personal para la Red CADE y SDQSMejorar infraestructura tecnológica de la Red</v>
      </c>
      <c r="BE50" t="e">
        <f>+VLOOKUP($N50,P1081_3,MATCH(BE$3,PAAC!#REF!,0),0)</f>
        <v>#NAME?</v>
      </c>
      <c r="BF50" t="e">
        <f>+VLOOKUP($N50,P1081_3,MATCH(BF$3,PAAC!#REF!,0),0)</f>
        <v>#NAME?</v>
      </c>
      <c r="BG50" t="e">
        <f>+VLOOKUP($N50,P1081_3,MATCH(BG$3,PAAC!#REF!,0),0)</f>
        <v>#NAME?</v>
      </c>
      <c r="BH50" t="e">
        <f>+VLOOKUP($N50,P1081_3,MATCH(BH$3,PAAC!#REF!,0),0)</f>
        <v>#NAME?</v>
      </c>
      <c r="BI50" t="e">
        <f>+VLOOKUP($N50,P1081_3,MATCH(BI$3,PAAC!#REF!,0),0)</f>
        <v>#NAME?</v>
      </c>
      <c r="BJ50" t="str">
        <f t="shared" si="37"/>
        <v/>
      </c>
    </row>
    <row r="51" spans="1:62" x14ac:dyDescent="0.3">
      <c r="A51">
        <v>58</v>
      </c>
      <c r="B51">
        <v>1126</v>
      </c>
      <c r="C51" t="s">
        <v>130</v>
      </c>
      <c r="D51">
        <v>10</v>
      </c>
      <c r="E51" t="s">
        <v>869</v>
      </c>
      <c r="F51" t="s">
        <v>596</v>
      </c>
      <c r="G51" t="s">
        <v>669</v>
      </c>
      <c r="H51" t="s">
        <v>127</v>
      </c>
      <c r="I51" t="s">
        <v>870</v>
      </c>
      <c r="J51" t="s">
        <v>871</v>
      </c>
      <c r="K51" t="s">
        <v>872</v>
      </c>
      <c r="L51" t="s">
        <v>638</v>
      </c>
      <c r="M51" t="s">
        <v>639</v>
      </c>
      <c r="N51" t="str">
        <f t="shared" si="20"/>
        <v>58_2</v>
      </c>
      <c r="O51">
        <v>9458964</v>
      </c>
      <c r="P51" s="13"/>
      <c r="Q51">
        <v>2</v>
      </c>
      <c r="R51" t="s">
        <v>879</v>
      </c>
      <c r="S51" t="s">
        <v>876</v>
      </c>
      <c r="T51" t="s">
        <v>852</v>
      </c>
      <c r="U51" s="13">
        <v>2.5000000000000001E-2</v>
      </c>
      <c r="V51" s="13">
        <f t="shared" si="21"/>
        <v>0.25</v>
      </c>
      <c r="W51" s="13">
        <f t="shared" si="18"/>
        <v>0.1</v>
      </c>
      <c r="X51" s="9">
        <v>43831</v>
      </c>
      <c r="Y51" s="9">
        <v>43982</v>
      </c>
      <c r="Z51" s="10">
        <v>0</v>
      </c>
      <c r="AA51" s="13">
        <f t="shared" si="22"/>
        <v>0</v>
      </c>
      <c r="AB51" s="13">
        <f t="shared" si="23"/>
        <v>7.400000000000001E-2</v>
      </c>
      <c r="AC51">
        <v>0</v>
      </c>
      <c r="AD51" s="10">
        <v>0.25</v>
      </c>
      <c r="AE51" s="13">
        <f t="shared" si="24"/>
        <v>2.5000000000000001E-2</v>
      </c>
      <c r="AF51" s="13">
        <f t="shared" si="25"/>
        <v>0.19800000000000001</v>
      </c>
      <c r="AG51" t="s">
        <v>880</v>
      </c>
      <c r="AH51" s="10">
        <v>0.25</v>
      </c>
      <c r="AI51" s="13">
        <f t="shared" si="26"/>
        <v>2.5000000000000001E-2</v>
      </c>
      <c r="AJ51" s="13">
        <f t="shared" si="27"/>
        <v>0.39800000000000002</v>
      </c>
      <c r="AK51" t="s">
        <v>880</v>
      </c>
      <c r="AL51" s="10">
        <v>0.25</v>
      </c>
      <c r="AM51" s="13">
        <f t="shared" si="28"/>
        <v>2.5000000000000001E-2</v>
      </c>
      <c r="AN51" s="13">
        <f t="shared" si="29"/>
        <v>0.16500000000000001</v>
      </c>
      <c r="AO51" t="s">
        <v>880</v>
      </c>
      <c r="AP51" s="10">
        <v>0.25</v>
      </c>
      <c r="AQ51" s="13">
        <f t="shared" si="30"/>
        <v>2.5000000000000001E-2</v>
      </c>
      <c r="AR51" s="13">
        <f t="shared" si="31"/>
        <v>0.16500000000000001</v>
      </c>
      <c r="AS51" t="s">
        <v>880</v>
      </c>
      <c r="AT51" t="str">
        <f t="shared" si="32"/>
        <v>ENERO: 0 FEBRERO: Reporte de actividades realizadas por la cuadrilla (mes vcencido). MARZO: Reporte de actividades realizadas por la cuadrilla (mes vcencido). ABRIL: Reporte de actividades realizadas por la cuadrilla (mes vcencido). MAYO: Reporte de actividades realizadas por la cuadrilla (mes vcencido).</v>
      </c>
      <c r="AU51" s="14">
        <f t="shared" si="33"/>
        <v>1</v>
      </c>
      <c r="AV51" s="13">
        <f t="shared" si="34"/>
        <v>0.1</v>
      </c>
      <c r="AW51" s="13">
        <f t="shared" si="35"/>
        <v>1</v>
      </c>
      <c r="AX51" t="s">
        <v>874</v>
      </c>
      <c r="AY51" t="s">
        <v>876</v>
      </c>
      <c r="AZ51" t="s">
        <v>877</v>
      </c>
      <c r="BA51" t="s">
        <v>878</v>
      </c>
      <c r="BD51" t="str">
        <f t="shared" si="36"/>
        <v>Contratar Bolsa LogísticaMejoramiento de infraestructura físicaMejoramiento de servicio y contratación de personal para la Red CADE y SDQSMejorar infraestructura tecnológica de la Red</v>
      </c>
      <c r="BE51" t="e">
        <f>+VLOOKUP($N51,P1081_3,MATCH(BE$3,PAAC!#REF!,0),0)</f>
        <v>#NAME?</v>
      </c>
      <c r="BF51" t="e">
        <f>+VLOOKUP($N51,P1081_3,MATCH(BF$3,PAAC!#REF!,0),0)</f>
        <v>#NAME?</v>
      </c>
      <c r="BG51" t="e">
        <f>+VLOOKUP($N51,P1081_3,MATCH(BG$3,PAAC!#REF!,0),0)</f>
        <v>#NAME?</v>
      </c>
      <c r="BH51" t="e">
        <f>+VLOOKUP($N51,P1081_3,MATCH(BH$3,PAAC!#REF!,0),0)</f>
        <v>#NAME?</v>
      </c>
      <c r="BI51" t="e">
        <f>+VLOOKUP($N51,P1081_3,MATCH(BI$3,PAAC!#REF!,0),0)</f>
        <v>#NAME?</v>
      </c>
      <c r="BJ51" t="str">
        <f t="shared" si="37"/>
        <v/>
      </c>
    </row>
    <row r="52" spans="1:62" x14ac:dyDescent="0.3">
      <c r="A52">
        <v>58</v>
      </c>
      <c r="B52">
        <v>1126</v>
      </c>
      <c r="C52" t="s">
        <v>130</v>
      </c>
      <c r="D52">
        <v>10</v>
      </c>
      <c r="E52" t="s">
        <v>869</v>
      </c>
      <c r="F52" t="s">
        <v>596</v>
      </c>
      <c r="G52" t="s">
        <v>669</v>
      </c>
      <c r="H52" t="s">
        <v>127</v>
      </c>
      <c r="I52" t="s">
        <v>870</v>
      </c>
      <c r="J52" t="s">
        <v>871</v>
      </c>
      <c r="K52" t="s">
        <v>872</v>
      </c>
      <c r="L52" t="s">
        <v>638</v>
      </c>
      <c r="M52" t="s">
        <v>639</v>
      </c>
      <c r="N52" t="str">
        <f t="shared" si="20"/>
        <v>58_3</v>
      </c>
      <c r="O52">
        <v>9458964</v>
      </c>
      <c r="P52" s="13"/>
      <c r="Q52">
        <v>3</v>
      </c>
      <c r="R52" t="s">
        <v>881</v>
      </c>
      <c r="S52" t="s">
        <v>877</v>
      </c>
      <c r="T52" t="s">
        <v>852</v>
      </c>
      <c r="U52" s="13">
        <v>0.16500000000000001</v>
      </c>
      <c r="V52" s="13">
        <f t="shared" si="21"/>
        <v>0.25</v>
      </c>
      <c r="W52" s="13">
        <f t="shared" si="18"/>
        <v>0.66</v>
      </c>
      <c r="X52" s="9">
        <v>43831</v>
      </c>
      <c r="Y52" s="9">
        <v>43982</v>
      </c>
      <c r="Z52" s="10">
        <v>0.1</v>
      </c>
      <c r="AA52" s="13">
        <f t="shared" si="22"/>
        <v>6.6000000000000003E-2</v>
      </c>
      <c r="AB52" s="13">
        <f t="shared" si="23"/>
        <v>7.400000000000001E-2</v>
      </c>
      <c r="AC52" t="s">
        <v>882</v>
      </c>
      <c r="AD52" s="10">
        <v>0.25</v>
      </c>
      <c r="AE52" s="13">
        <f t="shared" si="24"/>
        <v>0.16500000000000001</v>
      </c>
      <c r="AF52" s="13">
        <f t="shared" si="25"/>
        <v>0.19800000000000001</v>
      </c>
      <c r="AG52" t="s">
        <v>883</v>
      </c>
      <c r="AH52" s="10">
        <v>0.25</v>
      </c>
      <c r="AI52" s="13">
        <f t="shared" si="26"/>
        <v>0.16500000000000001</v>
      </c>
      <c r="AJ52" s="13">
        <f t="shared" si="27"/>
        <v>0.39800000000000002</v>
      </c>
      <c r="AK52" t="s">
        <v>883</v>
      </c>
      <c r="AL52" s="10">
        <v>0.2</v>
      </c>
      <c r="AM52" s="13">
        <f t="shared" si="28"/>
        <v>0.13200000000000001</v>
      </c>
      <c r="AN52" s="13">
        <f t="shared" si="29"/>
        <v>0.16500000000000001</v>
      </c>
      <c r="AO52" t="s">
        <v>882</v>
      </c>
      <c r="AP52" s="10">
        <v>0.2</v>
      </c>
      <c r="AQ52" s="13">
        <f t="shared" si="30"/>
        <v>0.13200000000000001</v>
      </c>
      <c r="AR52" s="13">
        <f t="shared" si="31"/>
        <v>0.16500000000000001</v>
      </c>
      <c r="AS52" t="s">
        <v>882</v>
      </c>
      <c r="AT52" t="str">
        <f t="shared" si="32"/>
        <v>ENERO: Reporte de estadísticas de servicio ofrecido en la red CADE por los diferentes canales. FEBRERO: 1. Reporte del número de contratos suscritos para la actividad de mejoramiento del servicio para la red CADE y SDQS.
2. Reporte de estadísticas de servicio ofrecido en la red CADE por los diferentes canales. MARZO: 1. Reporte del número de contratos suscritos para la actividad de mejoramiento del servicio para la red CADE y SDQS.
2. Reporte de estadísticas de servicio ofrecido en la red CADE por los diferentes canales. ABRIL: Reporte de estadísticas de servicio ofrecido en la red CADE por los diferentes canales. MAYO: Reporte de estadísticas de servicio ofrecido en la red CADE por los diferentes canales.</v>
      </c>
      <c r="AU52" s="14">
        <f t="shared" si="33"/>
        <v>1</v>
      </c>
      <c r="AV52" s="13">
        <f t="shared" si="34"/>
        <v>0.66</v>
      </c>
      <c r="AW52" s="13">
        <f t="shared" si="35"/>
        <v>1</v>
      </c>
      <c r="AX52" t="s">
        <v>874</v>
      </c>
      <c r="AY52" t="s">
        <v>876</v>
      </c>
      <c r="AZ52" t="s">
        <v>877</v>
      </c>
      <c r="BA52" t="s">
        <v>878</v>
      </c>
      <c r="BD52" t="str">
        <f t="shared" si="36"/>
        <v>Contratar Bolsa LogísticaMejoramiento de infraestructura físicaMejoramiento de servicio y contratación de personal para la Red CADE y SDQSMejorar infraestructura tecnológica de la Red</v>
      </c>
      <c r="BE52" t="e">
        <f>+VLOOKUP($N52,P1081_3,MATCH(BE$3,PAAC!#REF!,0),0)</f>
        <v>#NAME?</v>
      </c>
      <c r="BF52" t="e">
        <f>+VLOOKUP($N52,P1081_3,MATCH(BF$3,PAAC!#REF!,0),0)</f>
        <v>#NAME?</v>
      </c>
      <c r="BG52" t="e">
        <f>+VLOOKUP($N52,P1081_3,MATCH(BG$3,PAAC!#REF!,0),0)</f>
        <v>#NAME?</v>
      </c>
      <c r="BH52" t="e">
        <f>+VLOOKUP($N52,P1081_3,MATCH(BH$3,PAAC!#REF!,0),0)</f>
        <v>#NAME?</v>
      </c>
      <c r="BI52" t="e">
        <f>+VLOOKUP($N52,P1081_3,MATCH(BI$3,PAAC!#REF!,0),0)</f>
        <v>#NAME?</v>
      </c>
      <c r="BJ52" t="str">
        <f t="shared" si="37"/>
        <v/>
      </c>
    </row>
    <row r="53" spans="1:62" x14ac:dyDescent="0.3">
      <c r="A53">
        <v>58</v>
      </c>
      <c r="B53">
        <v>1126</v>
      </c>
      <c r="C53" t="s">
        <v>130</v>
      </c>
      <c r="D53">
        <v>10</v>
      </c>
      <c r="E53" t="s">
        <v>869</v>
      </c>
      <c r="F53" t="s">
        <v>596</v>
      </c>
      <c r="G53" t="s">
        <v>669</v>
      </c>
      <c r="H53" t="s">
        <v>127</v>
      </c>
      <c r="I53" t="s">
        <v>870</v>
      </c>
      <c r="J53" t="s">
        <v>871</v>
      </c>
      <c r="K53" t="s">
        <v>872</v>
      </c>
      <c r="L53" t="s">
        <v>638</v>
      </c>
      <c r="M53" t="s">
        <v>639</v>
      </c>
      <c r="N53" t="str">
        <f t="shared" si="20"/>
        <v>58_4</v>
      </c>
      <c r="O53">
        <v>9458964</v>
      </c>
      <c r="P53" s="13"/>
      <c r="Q53">
        <v>4</v>
      </c>
      <c r="R53" t="s">
        <v>884</v>
      </c>
      <c r="S53" t="s">
        <v>878</v>
      </c>
      <c r="T53" t="s">
        <v>852</v>
      </c>
      <c r="U53" s="13">
        <v>0.01</v>
      </c>
      <c r="V53" s="13">
        <f t="shared" si="21"/>
        <v>0.25</v>
      </c>
      <c r="W53" s="13">
        <f t="shared" si="18"/>
        <v>0.04</v>
      </c>
      <c r="X53" s="9">
        <v>43831</v>
      </c>
      <c r="Y53" s="9">
        <v>43982</v>
      </c>
      <c r="Z53" s="10">
        <v>0.2</v>
      </c>
      <c r="AA53" s="13">
        <f t="shared" si="22"/>
        <v>8.0000000000000002E-3</v>
      </c>
      <c r="AB53" s="13">
        <f t="shared" si="23"/>
        <v>7.400000000000001E-2</v>
      </c>
      <c r="AC53" t="s">
        <v>885</v>
      </c>
      <c r="AD53" s="10">
        <v>0.2</v>
      </c>
      <c r="AE53" s="13">
        <f t="shared" si="24"/>
        <v>8.0000000000000002E-3</v>
      </c>
      <c r="AF53" s="13">
        <f t="shared" si="25"/>
        <v>0.19800000000000001</v>
      </c>
      <c r="AG53" t="s">
        <v>885</v>
      </c>
      <c r="AH53" s="10">
        <v>0.2</v>
      </c>
      <c r="AI53" s="13">
        <f t="shared" si="26"/>
        <v>8.0000000000000002E-3</v>
      </c>
      <c r="AJ53" s="13">
        <f t="shared" si="27"/>
        <v>0.39800000000000002</v>
      </c>
      <c r="AK53" t="s">
        <v>885</v>
      </c>
      <c r="AL53" s="10">
        <v>0.2</v>
      </c>
      <c r="AM53" s="13">
        <f t="shared" si="28"/>
        <v>8.0000000000000002E-3</v>
      </c>
      <c r="AN53" s="13">
        <f t="shared" si="29"/>
        <v>0.16500000000000001</v>
      </c>
      <c r="AO53" t="s">
        <v>885</v>
      </c>
      <c r="AP53" s="10">
        <v>0.2</v>
      </c>
      <c r="AQ53" s="13">
        <f t="shared" si="30"/>
        <v>8.0000000000000002E-3</v>
      </c>
      <c r="AR53" s="13">
        <f t="shared" si="31"/>
        <v>0.16500000000000001</v>
      </c>
      <c r="AS53" t="s">
        <v>885</v>
      </c>
      <c r="AT53" t="str">
        <f t="shared" si="32"/>
        <v>ENERO: Reporte de estadísticas de casos resueltos en el mes relacionados con tecnología en la Red CADE. FEBRERO: Reporte de estadísticas de casos resueltos en el mes relacionados con tecnología en la Red CADE. MARZO: Reporte de estadísticas de casos resueltos en el mes relacionados con tecnología en la Red CADE. ABRIL: Reporte de estadísticas de casos resueltos en el mes relacionados con tecnología en la Red CADE. MAYO: Reporte de estadísticas de casos resueltos en el mes relacionados con tecnología en la Red CADE.</v>
      </c>
      <c r="AU53" s="14">
        <f t="shared" si="33"/>
        <v>1</v>
      </c>
      <c r="AV53" s="13">
        <f t="shared" si="34"/>
        <v>0.04</v>
      </c>
      <c r="AW53" s="13">
        <f t="shared" si="35"/>
        <v>1</v>
      </c>
      <c r="AX53" t="s">
        <v>874</v>
      </c>
      <c r="AY53" t="s">
        <v>876</v>
      </c>
      <c r="AZ53" t="s">
        <v>877</v>
      </c>
      <c r="BA53" t="s">
        <v>878</v>
      </c>
      <c r="BD53" t="str">
        <f t="shared" si="36"/>
        <v>Contratar Bolsa LogísticaMejoramiento de infraestructura físicaMejoramiento de servicio y contratación de personal para la Red CADE y SDQSMejorar infraestructura tecnológica de la Red</v>
      </c>
      <c r="BE53" t="e">
        <f>+VLOOKUP($N53,P1081_3,MATCH(BE$3,PAAC!#REF!,0),0)</f>
        <v>#NAME?</v>
      </c>
      <c r="BF53" t="e">
        <f>+VLOOKUP($N53,P1081_3,MATCH(BF$3,PAAC!#REF!,0),0)</f>
        <v>#NAME?</v>
      </c>
      <c r="BG53" t="e">
        <f>+VLOOKUP($N53,P1081_3,MATCH(BG$3,PAAC!#REF!,0),0)</f>
        <v>#NAME?</v>
      </c>
      <c r="BH53" t="e">
        <f>+VLOOKUP($N53,P1081_3,MATCH(BH$3,PAAC!#REF!,0),0)</f>
        <v>#NAME?</v>
      </c>
      <c r="BI53" t="e">
        <f>+VLOOKUP($N53,P1081_3,MATCH(BI$3,PAAC!#REF!,0),0)</f>
        <v>#NAME?</v>
      </c>
      <c r="BJ53" t="str">
        <f t="shared" si="37"/>
        <v/>
      </c>
    </row>
    <row r="54" spans="1:62" x14ac:dyDescent="0.3">
      <c r="A54">
        <v>61</v>
      </c>
      <c r="B54">
        <v>1126</v>
      </c>
      <c r="C54" t="s">
        <v>130</v>
      </c>
      <c r="D54">
        <v>15</v>
      </c>
      <c r="E54" t="s">
        <v>886</v>
      </c>
      <c r="F54" t="s">
        <v>596</v>
      </c>
      <c r="G54" t="s">
        <v>669</v>
      </c>
      <c r="H54" t="s">
        <v>127</v>
      </c>
      <c r="I54" t="s">
        <v>887</v>
      </c>
      <c r="J54" t="s">
        <v>888</v>
      </c>
      <c r="K54" t="s">
        <v>889</v>
      </c>
      <c r="L54" t="s">
        <v>638</v>
      </c>
      <c r="M54" t="s">
        <v>639</v>
      </c>
      <c r="N54" t="str">
        <f t="shared" si="20"/>
        <v>61_1</v>
      </c>
      <c r="O54">
        <v>1</v>
      </c>
      <c r="P54" s="13"/>
      <c r="Q54">
        <v>1</v>
      </c>
      <c r="R54" t="s">
        <v>890</v>
      </c>
      <c r="S54" t="s">
        <v>891</v>
      </c>
      <c r="T54" t="s">
        <v>852</v>
      </c>
      <c r="U54" s="13">
        <v>0.25</v>
      </c>
      <c r="V54" s="13">
        <f t="shared" si="21"/>
        <v>0.25</v>
      </c>
      <c r="W54" s="13">
        <f t="shared" si="18"/>
        <v>1</v>
      </c>
      <c r="X54" s="9">
        <v>43831</v>
      </c>
      <c r="Y54" s="9">
        <v>43982</v>
      </c>
      <c r="Z54" s="10">
        <v>0</v>
      </c>
      <c r="AA54" s="13">
        <f t="shared" si="22"/>
        <v>0</v>
      </c>
      <c r="AB54" s="13">
        <f t="shared" si="23"/>
        <v>0</v>
      </c>
      <c r="AC54">
        <v>0</v>
      </c>
      <c r="AD54" s="10">
        <v>0</v>
      </c>
      <c r="AE54" s="13">
        <f t="shared" si="24"/>
        <v>0</v>
      </c>
      <c r="AF54" s="13">
        <f t="shared" si="25"/>
        <v>0</v>
      </c>
      <c r="AG54">
        <v>0</v>
      </c>
      <c r="AH54" s="10">
        <v>0</v>
      </c>
      <c r="AI54" s="13">
        <f t="shared" si="26"/>
        <v>0</v>
      </c>
      <c r="AJ54" s="13">
        <f t="shared" si="27"/>
        <v>0</v>
      </c>
      <c r="AK54">
        <v>0</v>
      </c>
      <c r="AL54" s="10">
        <v>0</v>
      </c>
      <c r="AM54" s="13">
        <f t="shared" si="28"/>
        <v>0</v>
      </c>
      <c r="AN54" s="13">
        <f t="shared" si="29"/>
        <v>0</v>
      </c>
      <c r="AO54">
        <v>0</v>
      </c>
      <c r="AP54" s="10">
        <v>1</v>
      </c>
      <c r="AQ54" s="13">
        <f t="shared" si="30"/>
        <v>1</v>
      </c>
      <c r="AR54" s="13">
        <f t="shared" si="31"/>
        <v>1</v>
      </c>
      <c r="AS54" t="s">
        <v>892</v>
      </c>
      <c r="AT54" t="str">
        <f t="shared" si="32"/>
        <v>ENERO: 0 FEBRERO: 0 MARZO: 0 ABRIL: 0 MAYO: Un documento con los resultados  con corte al primer trimestre de 2020, de la implementación de la PPDSC.</v>
      </c>
      <c r="AU54" s="14">
        <f t="shared" si="33"/>
        <v>1</v>
      </c>
      <c r="AV54" s="13">
        <f t="shared" si="34"/>
        <v>1</v>
      </c>
      <c r="AW54" s="13">
        <f t="shared" si="35"/>
        <v>1</v>
      </c>
      <c r="AX54" t="s">
        <v>891</v>
      </c>
      <c r="BD54" t="str">
        <f t="shared" si="36"/>
        <v>Realizar una evaluación de resultados de la implementación modelo de prestación de servicios y seguimiento para la atención a la ciudadanía</v>
      </c>
      <c r="BE54" t="e">
        <f>+VLOOKUP($N54,P1081_3,MATCH(BE$3,PAAC!#REF!,0),0)</f>
        <v>#NAME?</v>
      </c>
      <c r="BF54" t="e">
        <f>+VLOOKUP($N54,P1081_3,MATCH(BF$3,PAAC!#REF!,0),0)</f>
        <v>#NAME?</v>
      </c>
      <c r="BG54" t="e">
        <f>+VLOOKUP($N54,P1081_3,MATCH(BG$3,PAAC!#REF!,0),0)</f>
        <v>#NAME?</v>
      </c>
      <c r="BH54" t="e">
        <f>+VLOOKUP($N54,P1081_3,MATCH(BH$3,PAAC!#REF!,0),0)</f>
        <v>#NAME?</v>
      </c>
      <c r="BI54" t="e">
        <f>+VLOOKUP($N54,P1081_3,MATCH(BI$3,PAAC!#REF!,0),0)</f>
        <v>#NAME?</v>
      </c>
      <c r="BJ54" t="str">
        <f t="shared" si="37"/>
        <v/>
      </c>
    </row>
    <row r="55" spans="1:62" x14ac:dyDescent="0.3">
      <c r="A55">
        <v>115</v>
      </c>
      <c r="B55">
        <v>1127</v>
      </c>
      <c r="C55" t="s">
        <v>137</v>
      </c>
      <c r="D55">
        <v>3</v>
      </c>
      <c r="E55" t="s">
        <v>893</v>
      </c>
      <c r="F55" t="s">
        <v>596</v>
      </c>
      <c r="G55" t="s">
        <v>894</v>
      </c>
      <c r="H55" t="s">
        <v>134</v>
      </c>
      <c r="I55" t="s">
        <v>895</v>
      </c>
      <c r="J55" t="s">
        <v>896</v>
      </c>
      <c r="K55" t="s">
        <v>897</v>
      </c>
      <c r="L55" t="s">
        <v>601</v>
      </c>
      <c r="M55" t="s">
        <v>602</v>
      </c>
      <c r="N55" t="str">
        <f t="shared" si="20"/>
        <v>115_1</v>
      </c>
      <c r="O55">
        <v>80</v>
      </c>
      <c r="P55" s="13">
        <v>1</v>
      </c>
      <c r="Q55">
        <v>1</v>
      </c>
      <c r="R55" t="s">
        <v>898</v>
      </c>
      <c r="S55" t="s">
        <v>899</v>
      </c>
      <c r="T55" t="s">
        <v>134</v>
      </c>
      <c r="U55" s="13">
        <v>0.1</v>
      </c>
      <c r="V55" s="13">
        <f t="shared" si="21"/>
        <v>0.2</v>
      </c>
      <c r="W55" s="13">
        <f t="shared" si="18"/>
        <v>0.5</v>
      </c>
      <c r="X55" s="9">
        <v>43966</v>
      </c>
      <c r="Y55" s="9">
        <v>43981</v>
      </c>
      <c r="Z55" s="10">
        <v>0</v>
      </c>
      <c r="AA55" s="13">
        <f t="shared" si="22"/>
        <v>0</v>
      </c>
      <c r="AB55" s="13">
        <f t="shared" si="23"/>
        <v>0</v>
      </c>
      <c r="AC55">
        <v>0</v>
      </c>
      <c r="AD55" s="10">
        <v>0</v>
      </c>
      <c r="AE55" s="13">
        <f t="shared" si="24"/>
        <v>0</v>
      </c>
      <c r="AF55" s="13">
        <f t="shared" si="25"/>
        <v>0</v>
      </c>
      <c r="AG55">
        <v>0</v>
      </c>
      <c r="AH55" s="10">
        <v>0</v>
      </c>
      <c r="AI55" s="13">
        <f t="shared" si="26"/>
        <v>0</v>
      </c>
      <c r="AJ55" s="13">
        <f t="shared" si="27"/>
        <v>0</v>
      </c>
      <c r="AK55">
        <v>0</v>
      </c>
      <c r="AL55" s="10">
        <v>0</v>
      </c>
      <c r="AM55" s="13">
        <f t="shared" si="28"/>
        <v>0</v>
      </c>
      <c r="AN55" s="13">
        <f t="shared" si="29"/>
        <v>0</v>
      </c>
      <c r="AO55">
        <v>0</v>
      </c>
      <c r="AP55" s="10">
        <v>1</v>
      </c>
      <c r="AQ55" s="13">
        <f t="shared" si="30"/>
        <v>0.5</v>
      </c>
      <c r="AR55" s="13">
        <f t="shared" si="31"/>
        <v>1</v>
      </c>
      <c r="AS55">
        <v>0</v>
      </c>
      <c r="AT55" t="str">
        <f t="shared" si="32"/>
        <v>ENERO: 0 FEBRERO: 0 MARZO: 0 ABRIL: 0 MAYO: 0</v>
      </c>
      <c r="AU55" s="14">
        <f t="shared" si="33"/>
        <v>1</v>
      </c>
      <c r="AV55" s="13">
        <f t="shared" si="34"/>
        <v>0.5</v>
      </c>
      <c r="AW55" s="13">
        <f t="shared" si="35"/>
        <v>1</v>
      </c>
      <c r="AX55" t="s">
        <v>899</v>
      </c>
      <c r="AY55" t="s">
        <v>900</v>
      </c>
      <c r="BD55" t="str">
        <f t="shared" si="36"/>
        <v>Dotar las instalaciones de mobiliario y enseres necesarios para el funcionamiento de la entidad.Suministrar e instalar la red contra incendios en la sede del Archivo Distrital de la Secretaría General.</v>
      </c>
      <c r="BE55" t="e">
        <f>+VLOOKUP($N55,P1081_3,MATCH(BE$3,PAAC!#REF!,0),0)</f>
        <v>#NAME?</v>
      </c>
      <c r="BF55" t="e">
        <f>+VLOOKUP($N55,P1081_3,MATCH(BF$3,PAAC!#REF!,0),0)</f>
        <v>#NAME?</v>
      </c>
      <c r="BG55" t="e">
        <f>+VLOOKUP($N55,P1081_3,MATCH(BG$3,PAAC!#REF!,0),0)</f>
        <v>#NAME?</v>
      </c>
      <c r="BH55" t="e">
        <f>+VLOOKUP($N55,P1081_3,MATCH(BH$3,PAAC!#REF!,0),0)</f>
        <v>#NAME?</v>
      </c>
      <c r="BI55" t="e">
        <f>+VLOOKUP($N55,P1081_3,MATCH(BI$3,PAAC!#REF!,0),0)</f>
        <v>#NAME?</v>
      </c>
      <c r="BJ55" t="str">
        <f t="shared" si="37"/>
        <v/>
      </c>
    </row>
    <row r="56" spans="1:62" x14ac:dyDescent="0.3">
      <c r="A56">
        <v>115</v>
      </c>
      <c r="B56">
        <v>1127</v>
      </c>
      <c r="C56" t="s">
        <v>137</v>
      </c>
      <c r="D56">
        <v>3</v>
      </c>
      <c r="E56" t="s">
        <v>893</v>
      </c>
      <c r="F56" t="s">
        <v>596</v>
      </c>
      <c r="G56" t="s">
        <v>894</v>
      </c>
      <c r="H56" t="s">
        <v>134</v>
      </c>
      <c r="I56" t="s">
        <v>895</v>
      </c>
      <c r="J56" t="s">
        <v>896</v>
      </c>
      <c r="K56" t="s">
        <v>897</v>
      </c>
      <c r="L56" t="s">
        <v>601</v>
      </c>
      <c r="M56" t="s">
        <v>602</v>
      </c>
      <c r="N56" t="str">
        <f t="shared" si="20"/>
        <v>115_2</v>
      </c>
      <c r="O56">
        <v>80</v>
      </c>
      <c r="P56" s="13">
        <v>1</v>
      </c>
      <c r="Q56">
        <v>2</v>
      </c>
      <c r="R56" t="s">
        <v>901</v>
      </c>
      <c r="S56" t="s">
        <v>900</v>
      </c>
      <c r="T56" t="s">
        <v>134</v>
      </c>
      <c r="U56" s="13">
        <v>0.1</v>
      </c>
      <c r="V56" s="13">
        <f t="shared" si="21"/>
        <v>0.2</v>
      </c>
      <c r="W56" s="13">
        <f t="shared" si="18"/>
        <v>0.5</v>
      </c>
      <c r="X56" s="9">
        <v>43966</v>
      </c>
      <c r="Y56" s="9">
        <v>43981</v>
      </c>
      <c r="Z56" s="10">
        <v>0</v>
      </c>
      <c r="AA56" s="13">
        <f t="shared" si="22"/>
        <v>0</v>
      </c>
      <c r="AB56" s="13">
        <f t="shared" si="23"/>
        <v>0</v>
      </c>
      <c r="AC56">
        <v>0</v>
      </c>
      <c r="AD56" s="10">
        <v>0</v>
      </c>
      <c r="AE56" s="13">
        <f t="shared" si="24"/>
        <v>0</v>
      </c>
      <c r="AF56" s="13">
        <f t="shared" si="25"/>
        <v>0</v>
      </c>
      <c r="AG56">
        <v>0</v>
      </c>
      <c r="AH56" s="10">
        <v>0</v>
      </c>
      <c r="AI56" s="13">
        <f t="shared" si="26"/>
        <v>0</v>
      </c>
      <c r="AJ56" s="13">
        <f t="shared" si="27"/>
        <v>0</v>
      </c>
      <c r="AK56">
        <v>0</v>
      </c>
      <c r="AL56" s="10">
        <v>0</v>
      </c>
      <c r="AM56" s="13">
        <f t="shared" si="28"/>
        <v>0</v>
      </c>
      <c r="AN56" s="13">
        <f t="shared" si="29"/>
        <v>0</v>
      </c>
      <c r="AO56">
        <v>0</v>
      </c>
      <c r="AP56" s="10">
        <v>1</v>
      </c>
      <c r="AQ56" s="13">
        <f t="shared" si="30"/>
        <v>0.5</v>
      </c>
      <c r="AR56" s="13">
        <f t="shared" si="31"/>
        <v>1</v>
      </c>
      <c r="AS56">
        <v>0</v>
      </c>
      <c r="AT56" t="str">
        <f t="shared" si="32"/>
        <v>ENERO: 0 FEBRERO: 0 MARZO: 0 ABRIL: 0 MAYO: 0</v>
      </c>
      <c r="AU56" s="14">
        <f t="shared" si="33"/>
        <v>1</v>
      </c>
      <c r="AV56" s="13">
        <f t="shared" si="34"/>
        <v>0.5</v>
      </c>
      <c r="AW56" s="13">
        <f t="shared" si="35"/>
        <v>1</v>
      </c>
      <c r="AX56" t="s">
        <v>899</v>
      </c>
      <c r="AY56" t="s">
        <v>900</v>
      </c>
      <c r="BD56" t="str">
        <f t="shared" si="36"/>
        <v>Dotar las instalaciones de mobiliario y enseres necesarios para el funcionamiento de la entidad.Suministrar e instalar la red contra incendios en la sede del Archivo Distrital de la Secretaría General.</v>
      </c>
      <c r="BE56" t="e">
        <f>+VLOOKUP($N56,P1081_3,MATCH(BE$3,PAAC!#REF!,0),0)</f>
        <v>#NAME?</v>
      </c>
      <c r="BF56" t="e">
        <f>+VLOOKUP($N56,P1081_3,MATCH(BF$3,PAAC!#REF!,0),0)</f>
        <v>#NAME?</v>
      </c>
      <c r="BG56" t="e">
        <f>+VLOOKUP($N56,P1081_3,MATCH(BG$3,PAAC!#REF!,0),0)</f>
        <v>#NAME?</v>
      </c>
      <c r="BH56" t="e">
        <f>+VLOOKUP($N56,P1081_3,MATCH(BH$3,PAAC!#REF!,0),0)</f>
        <v>#NAME?</v>
      </c>
      <c r="BI56" t="e">
        <f>+VLOOKUP($N56,P1081_3,MATCH(BI$3,PAAC!#REF!,0),0)</f>
        <v>#NAME?</v>
      </c>
      <c r="BJ56" t="str">
        <f t="shared" si="37"/>
        <v/>
      </c>
    </row>
    <row r="57" spans="1:62" x14ac:dyDescent="0.3">
      <c r="A57">
        <v>116</v>
      </c>
      <c r="B57">
        <v>1127</v>
      </c>
      <c r="C57" t="s">
        <v>137</v>
      </c>
      <c r="D57">
        <v>1</v>
      </c>
      <c r="E57" t="s">
        <v>902</v>
      </c>
      <c r="F57" t="s">
        <v>596</v>
      </c>
      <c r="G57" t="s">
        <v>894</v>
      </c>
      <c r="H57" t="s">
        <v>134</v>
      </c>
      <c r="I57" t="s">
        <v>903</v>
      </c>
      <c r="J57" t="s">
        <v>904</v>
      </c>
      <c r="K57" t="s">
        <v>905</v>
      </c>
      <c r="L57" t="s">
        <v>661</v>
      </c>
      <c r="M57" t="s">
        <v>602</v>
      </c>
      <c r="N57" t="str">
        <f t="shared" si="20"/>
        <v>116_1</v>
      </c>
      <c r="O57">
        <v>100</v>
      </c>
      <c r="P57" s="13">
        <v>1</v>
      </c>
      <c r="Q57">
        <v>1</v>
      </c>
      <c r="R57" t="s">
        <v>906</v>
      </c>
      <c r="S57" t="s">
        <v>907</v>
      </c>
      <c r="T57" t="s">
        <v>134</v>
      </c>
      <c r="U57" s="13">
        <v>0.15</v>
      </c>
      <c r="V57" s="13">
        <f t="shared" si="21"/>
        <v>0.8</v>
      </c>
      <c r="W57" s="13">
        <f t="shared" si="18"/>
        <v>0.18749999999999997</v>
      </c>
      <c r="X57" s="9">
        <v>43845</v>
      </c>
      <c r="Y57" s="9">
        <v>43981</v>
      </c>
      <c r="Z57" s="10">
        <v>0</v>
      </c>
      <c r="AA57" s="13">
        <f t="shared" si="22"/>
        <v>0</v>
      </c>
      <c r="AB57" s="13">
        <f t="shared" si="23"/>
        <v>7.4999999999999997E-2</v>
      </c>
      <c r="AC57">
        <v>0</v>
      </c>
      <c r="AD57" s="10">
        <v>0</v>
      </c>
      <c r="AE57" s="13">
        <f t="shared" si="24"/>
        <v>0</v>
      </c>
      <c r="AF57" s="13">
        <f t="shared" si="25"/>
        <v>0.15625</v>
      </c>
      <c r="AG57">
        <v>0</v>
      </c>
      <c r="AH57" s="10">
        <v>0</v>
      </c>
      <c r="AI57" s="13">
        <f t="shared" si="26"/>
        <v>0</v>
      </c>
      <c r="AJ57" s="13">
        <f t="shared" si="27"/>
        <v>0.15625</v>
      </c>
      <c r="AK57">
        <v>0</v>
      </c>
      <c r="AL57" s="10">
        <v>0</v>
      </c>
      <c r="AM57" s="13">
        <f t="shared" si="28"/>
        <v>0</v>
      </c>
      <c r="AN57" s="13">
        <f t="shared" si="29"/>
        <v>0.18124999999999999</v>
      </c>
      <c r="AO57">
        <v>0</v>
      </c>
      <c r="AP57" s="10">
        <v>1</v>
      </c>
      <c r="AQ57" s="13">
        <f t="shared" si="30"/>
        <v>0.18749999999999997</v>
      </c>
      <c r="AR57" s="13">
        <f t="shared" si="31"/>
        <v>0.43124999999999997</v>
      </c>
      <c r="AS57">
        <v>0</v>
      </c>
      <c r="AT57" t="str">
        <f t="shared" si="32"/>
        <v>ENERO: 0 FEBRERO: 0 MARZO: 0 ABRIL: 0 MAYO: 0</v>
      </c>
      <c r="AU57" s="14">
        <f t="shared" si="33"/>
        <v>1</v>
      </c>
      <c r="AV57" s="13">
        <f t="shared" si="34"/>
        <v>0.18749999999999997</v>
      </c>
      <c r="AW57" s="13">
        <f t="shared" si="35"/>
        <v>1</v>
      </c>
      <c r="AX57" t="s">
        <v>907</v>
      </c>
      <c r="AY57" t="s">
        <v>908</v>
      </c>
      <c r="AZ57" t="s">
        <v>909</v>
      </c>
      <c r="BA57" t="s">
        <v>910</v>
      </c>
      <c r="BD57" t="str">
        <f t="shared" si="36"/>
        <v>Adquirir los insumos para hacer los mantenimientos correspondientesImplementar el Plan de acción 2020 del Plan Institucional de Gestión Ambiental - PIGA, en el marco del sistema integrado de gestión.Llevar a cabo las actividades de planeación, ejecución, seguimiento y control del proyectoRealizar la Actualización de Inventarios</v>
      </c>
      <c r="BE57" t="e">
        <f>+VLOOKUP($N57,P1081_3,MATCH(BE$3,PAAC!#REF!,0),0)</f>
        <v>#NAME?</v>
      </c>
      <c r="BF57" t="e">
        <f>+VLOOKUP($N57,P1081_3,MATCH(BF$3,PAAC!#REF!,0),0)</f>
        <v>#NAME?</v>
      </c>
      <c r="BG57" t="e">
        <f>+VLOOKUP($N57,P1081_3,MATCH(BG$3,PAAC!#REF!,0),0)</f>
        <v>#NAME?</v>
      </c>
      <c r="BH57" t="e">
        <f>+VLOOKUP($N57,P1081_3,MATCH(BH$3,PAAC!#REF!,0),0)</f>
        <v>#NAME?</v>
      </c>
      <c r="BI57" t="e">
        <f>+VLOOKUP($N57,P1081_3,MATCH(BI$3,PAAC!#REF!,0),0)</f>
        <v>#NAME?</v>
      </c>
      <c r="BJ57" t="str">
        <f t="shared" si="37"/>
        <v/>
      </c>
    </row>
    <row r="58" spans="1:62" x14ac:dyDescent="0.3">
      <c r="A58">
        <v>116</v>
      </c>
      <c r="B58">
        <v>1127</v>
      </c>
      <c r="C58" t="s">
        <v>137</v>
      </c>
      <c r="D58">
        <v>1</v>
      </c>
      <c r="E58" t="s">
        <v>902</v>
      </c>
      <c r="F58" t="s">
        <v>596</v>
      </c>
      <c r="G58" t="s">
        <v>894</v>
      </c>
      <c r="H58" t="s">
        <v>134</v>
      </c>
      <c r="I58" t="s">
        <v>903</v>
      </c>
      <c r="J58" t="s">
        <v>904</v>
      </c>
      <c r="K58" t="s">
        <v>905</v>
      </c>
      <c r="L58" t="s">
        <v>661</v>
      </c>
      <c r="M58" t="s">
        <v>602</v>
      </c>
      <c r="N58" t="str">
        <f t="shared" si="20"/>
        <v>116_2</v>
      </c>
      <c r="O58">
        <v>100</v>
      </c>
      <c r="P58" s="13">
        <v>1</v>
      </c>
      <c r="Q58">
        <v>2</v>
      </c>
      <c r="R58" t="s">
        <v>911</v>
      </c>
      <c r="S58" t="s">
        <v>908</v>
      </c>
      <c r="T58" t="s">
        <v>134</v>
      </c>
      <c r="U58" s="13">
        <v>0.1</v>
      </c>
      <c r="V58" s="13">
        <f t="shared" si="21"/>
        <v>0.8</v>
      </c>
      <c r="W58" s="13">
        <f t="shared" si="18"/>
        <v>0.125</v>
      </c>
      <c r="X58" s="9">
        <v>43845</v>
      </c>
      <c r="Y58" s="9">
        <v>43981</v>
      </c>
      <c r="Z58" s="10">
        <v>0</v>
      </c>
      <c r="AA58" s="13">
        <f t="shared" si="22"/>
        <v>0</v>
      </c>
      <c r="AB58" s="13">
        <f t="shared" si="23"/>
        <v>7.4999999999999997E-2</v>
      </c>
      <c r="AC58">
        <v>0</v>
      </c>
      <c r="AD58" s="10">
        <v>0.25</v>
      </c>
      <c r="AE58" s="13">
        <f t="shared" si="24"/>
        <v>3.125E-2</v>
      </c>
      <c r="AF58" s="13">
        <f t="shared" si="25"/>
        <v>0.15625</v>
      </c>
      <c r="AG58" t="s">
        <v>912</v>
      </c>
      <c r="AH58" s="10">
        <v>0.25</v>
      </c>
      <c r="AI58" s="13">
        <f t="shared" si="26"/>
        <v>3.125E-2</v>
      </c>
      <c r="AJ58" s="13">
        <f t="shared" si="27"/>
        <v>0.15625</v>
      </c>
      <c r="AK58" t="s">
        <v>912</v>
      </c>
      <c r="AL58" s="10">
        <v>0.25</v>
      </c>
      <c r="AM58" s="13">
        <f t="shared" si="28"/>
        <v>3.125E-2</v>
      </c>
      <c r="AN58" s="13">
        <f t="shared" si="29"/>
        <v>0.18124999999999999</v>
      </c>
      <c r="AO58" t="s">
        <v>912</v>
      </c>
      <c r="AP58" s="10">
        <v>0.25</v>
      </c>
      <c r="AQ58" s="13">
        <f t="shared" si="30"/>
        <v>3.125E-2</v>
      </c>
      <c r="AR58" s="13">
        <f t="shared" si="31"/>
        <v>0.43124999999999997</v>
      </c>
      <c r="AS58" t="s">
        <v>912</v>
      </c>
      <c r="AT58" t="str">
        <f t="shared" si="32"/>
        <v>ENERO: 0 FEBRERO: Seguimiento a matriz de actividades establecidas en el Plan de acción PIGA 2020. MARZO: Seguimiento a matriz de actividades establecidas en el Plan de acción PIGA 2020. ABRIL: Seguimiento a matriz de actividades establecidas en el Plan de acción PIGA 2020. MAYO: Seguimiento a matriz de actividades establecidas en el Plan de acción PIGA 2020.</v>
      </c>
      <c r="AU58" s="14">
        <f t="shared" si="33"/>
        <v>1</v>
      </c>
      <c r="AV58" s="13">
        <f t="shared" si="34"/>
        <v>0.125</v>
      </c>
      <c r="AW58" s="13">
        <f t="shared" si="35"/>
        <v>1</v>
      </c>
      <c r="AX58" t="s">
        <v>907</v>
      </c>
      <c r="AY58" t="s">
        <v>908</v>
      </c>
      <c r="AZ58" t="s">
        <v>909</v>
      </c>
      <c r="BA58" t="s">
        <v>910</v>
      </c>
      <c r="BD58" t="str">
        <f t="shared" si="36"/>
        <v>Adquirir los insumos para hacer los mantenimientos correspondientesImplementar el Plan de acción 2020 del Plan Institucional de Gestión Ambiental - PIGA, en el marco del sistema integrado de gestión.Llevar a cabo las actividades de planeación, ejecución, seguimiento y control del proyectoRealizar la Actualización de Inventarios</v>
      </c>
      <c r="BE58" t="e">
        <f>+VLOOKUP($N58,P1081_3,MATCH(BE$3,PAAC!#REF!,0),0)</f>
        <v>#NAME?</v>
      </c>
      <c r="BF58" t="e">
        <f>+VLOOKUP($N58,P1081_3,MATCH(BF$3,PAAC!#REF!,0),0)</f>
        <v>#NAME?</v>
      </c>
      <c r="BG58" t="e">
        <f>+VLOOKUP($N58,P1081_3,MATCH(BG$3,PAAC!#REF!,0),0)</f>
        <v>#NAME?</v>
      </c>
      <c r="BH58" t="e">
        <f>+VLOOKUP($N58,P1081_3,MATCH(BH$3,PAAC!#REF!,0),0)</f>
        <v>#NAME?</v>
      </c>
      <c r="BI58" t="e">
        <f>+VLOOKUP($N58,P1081_3,MATCH(BI$3,PAAC!#REF!,0),0)</f>
        <v>#NAME?</v>
      </c>
      <c r="BJ58" t="str">
        <f t="shared" si="37"/>
        <v/>
      </c>
    </row>
    <row r="59" spans="1:62" x14ac:dyDescent="0.3">
      <c r="A59">
        <v>116</v>
      </c>
      <c r="B59">
        <v>1127</v>
      </c>
      <c r="C59" t="s">
        <v>137</v>
      </c>
      <c r="D59">
        <v>1</v>
      </c>
      <c r="E59" t="s">
        <v>902</v>
      </c>
      <c r="F59" t="s">
        <v>596</v>
      </c>
      <c r="G59" t="s">
        <v>894</v>
      </c>
      <c r="H59" t="s">
        <v>134</v>
      </c>
      <c r="I59" t="s">
        <v>903</v>
      </c>
      <c r="J59" t="s">
        <v>904</v>
      </c>
      <c r="K59" t="s">
        <v>905</v>
      </c>
      <c r="L59" t="s">
        <v>661</v>
      </c>
      <c r="M59" t="s">
        <v>602</v>
      </c>
      <c r="N59" t="str">
        <f t="shared" si="20"/>
        <v>116_3</v>
      </c>
      <c r="O59">
        <v>100</v>
      </c>
      <c r="P59" s="13">
        <v>1</v>
      </c>
      <c r="Q59">
        <v>3</v>
      </c>
      <c r="R59" t="s">
        <v>913</v>
      </c>
      <c r="S59" t="s">
        <v>909</v>
      </c>
      <c r="T59" t="s">
        <v>134</v>
      </c>
      <c r="U59" s="13">
        <v>0.3</v>
      </c>
      <c r="V59" s="13">
        <f t="shared" si="21"/>
        <v>0.8</v>
      </c>
      <c r="W59" s="13">
        <f t="shared" si="18"/>
        <v>0.37499999999999994</v>
      </c>
      <c r="X59" s="9">
        <v>43845</v>
      </c>
      <c r="Y59" s="9">
        <v>43981</v>
      </c>
      <c r="Z59" s="10">
        <v>0.2</v>
      </c>
      <c r="AA59" s="13">
        <f t="shared" si="22"/>
        <v>7.4999999999999997E-2</v>
      </c>
      <c r="AB59" s="13">
        <f t="shared" si="23"/>
        <v>7.4999999999999997E-2</v>
      </c>
      <c r="AC59" t="s">
        <v>914</v>
      </c>
      <c r="AD59" s="10">
        <v>0.2</v>
      </c>
      <c r="AE59" s="13">
        <f t="shared" si="24"/>
        <v>7.4999999999999997E-2</v>
      </c>
      <c r="AF59" s="13">
        <f t="shared" si="25"/>
        <v>0.15625</v>
      </c>
      <c r="AG59" t="s">
        <v>914</v>
      </c>
      <c r="AH59" s="10">
        <v>0.2</v>
      </c>
      <c r="AI59" s="13">
        <f t="shared" si="26"/>
        <v>7.4999999999999997E-2</v>
      </c>
      <c r="AJ59" s="13">
        <f t="shared" si="27"/>
        <v>0.15625</v>
      </c>
      <c r="AK59" t="s">
        <v>914</v>
      </c>
      <c r="AL59" s="10">
        <v>0.2</v>
      </c>
      <c r="AM59" s="13">
        <f t="shared" si="28"/>
        <v>7.4999999999999997E-2</v>
      </c>
      <c r="AN59" s="13">
        <f t="shared" si="29"/>
        <v>0.18124999999999999</v>
      </c>
      <c r="AO59" t="s">
        <v>914</v>
      </c>
      <c r="AP59" s="10">
        <v>0.2</v>
      </c>
      <c r="AQ59" s="13">
        <f t="shared" si="30"/>
        <v>7.4999999999999997E-2</v>
      </c>
      <c r="AR59" s="13">
        <f t="shared" si="31"/>
        <v>0.43124999999999997</v>
      </c>
      <c r="AS59" t="s">
        <v>914</v>
      </c>
      <c r="AT59" t="str">
        <f t="shared" si="32"/>
        <v>ENERO: Relación de la ejecución de mantenimientos y adecuaciones requeridas por las dependencias FEBRERO: Relación de la ejecución de mantenimientos y adecuaciones requeridas por las dependencias MARZO: Relación de la ejecución de mantenimientos y adecuaciones requeridas por las dependencias ABRIL: Relación de la ejecución de mantenimientos y adecuaciones requeridas por las dependencias MAYO: Relación de la ejecución de mantenimientos y adecuaciones requeridas por las dependencias</v>
      </c>
      <c r="AU59" s="14">
        <f t="shared" si="33"/>
        <v>1</v>
      </c>
      <c r="AV59" s="13">
        <f t="shared" si="34"/>
        <v>0.37499999999999994</v>
      </c>
      <c r="AW59" s="13">
        <f t="shared" si="35"/>
        <v>1</v>
      </c>
      <c r="AX59" t="s">
        <v>907</v>
      </c>
      <c r="AY59" t="s">
        <v>908</v>
      </c>
      <c r="AZ59" t="s">
        <v>909</v>
      </c>
      <c r="BA59" t="s">
        <v>910</v>
      </c>
      <c r="BD59" t="str">
        <f t="shared" si="36"/>
        <v>Adquirir los insumos para hacer los mantenimientos correspondientesImplementar el Plan de acción 2020 del Plan Institucional de Gestión Ambiental - PIGA, en el marco del sistema integrado de gestión.Llevar a cabo las actividades de planeación, ejecución, seguimiento y control del proyectoRealizar la Actualización de Inventarios</v>
      </c>
      <c r="BE59" t="e">
        <f>+VLOOKUP($N59,P1081_3,MATCH(BE$3,PAAC!#REF!,0),0)</f>
        <v>#NAME?</v>
      </c>
      <c r="BF59" t="e">
        <f>+VLOOKUP($N59,P1081_3,MATCH(BF$3,PAAC!#REF!,0),0)</f>
        <v>#NAME?</v>
      </c>
      <c r="BG59" t="e">
        <f>+VLOOKUP($N59,P1081_3,MATCH(BG$3,PAAC!#REF!,0),0)</f>
        <v>#NAME?</v>
      </c>
      <c r="BH59" t="e">
        <f>+VLOOKUP($N59,P1081_3,MATCH(BH$3,PAAC!#REF!,0),0)</f>
        <v>#NAME?</v>
      </c>
      <c r="BI59" t="e">
        <f>+VLOOKUP($N59,P1081_3,MATCH(BI$3,PAAC!#REF!,0),0)</f>
        <v>#NAME?</v>
      </c>
      <c r="BJ59" t="str">
        <f t="shared" si="37"/>
        <v/>
      </c>
    </row>
    <row r="60" spans="1:62" x14ac:dyDescent="0.3">
      <c r="A60">
        <v>116</v>
      </c>
      <c r="B60">
        <v>1127</v>
      </c>
      <c r="C60" t="s">
        <v>137</v>
      </c>
      <c r="D60">
        <v>1</v>
      </c>
      <c r="E60" t="s">
        <v>902</v>
      </c>
      <c r="F60" t="s">
        <v>596</v>
      </c>
      <c r="G60" t="s">
        <v>894</v>
      </c>
      <c r="H60" t="s">
        <v>134</v>
      </c>
      <c r="I60" t="s">
        <v>903</v>
      </c>
      <c r="J60" t="s">
        <v>904</v>
      </c>
      <c r="K60" t="s">
        <v>905</v>
      </c>
      <c r="L60" t="s">
        <v>661</v>
      </c>
      <c r="M60" t="s">
        <v>602</v>
      </c>
      <c r="N60" t="str">
        <f t="shared" si="20"/>
        <v>116_4</v>
      </c>
      <c r="O60">
        <v>100</v>
      </c>
      <c r="P60" s="13">
        <v>1</v>
      </c>
      <c r="Q60">
        <v>4</v>
      </c>
      <c r="R60" t="s">
        <v>915</v>
      </c>
      <c r="S60" t="s">
        <v>910</v>
      </c>
      <c r="T60" t="s">
        <v>134</v>
      </c>
      <c r="U60" s="13">
        <v>0.2</v>
      </c>
      <c r="V60" s="13">
        <f t="shared" si="21"/>
        <v>0.8</v>
      </c>
      <c r="W60" s="13">
        <f t="shared" si="18"/>
        <v>0.25</v>
      </c>
      <c r="X60" s="9">
        <v>43863</v>
      </c>
      <c r="Y60" s="9">
        <v>43981</v>
      </c>
      <c r="Z60" s="10">
        <v>0</v>
      </c>
      <c r="AA60" s="13">
        <f t="shared" si="22"/>
        <v>0</v>
      </c>
      <c r="AB60" s="13">
        <f t="shared" si="23"/>
        <v>7.4999999999999997E-2</v>
      </c>
      <c r="AD60" s="10">
        <v>0.2</v>
      </c>
      <c r="AE60" s="13">
        <f t="shared" si="24"/>
        <v>0.05</v>
      </c>
      <c r="AF60" s="13">
        <f t="shared" si="25"/>
        <v>0.15625</v>
      </c>
      <c r="AG60" t="s">
        <v>916</v>
      </c>
      <c r="AH60" s="10">
        <v>0.2</v>
      </c>
      <c r="AI60" s="13">
        <f t="shared" si="26"/>
        <v>0.05</v>
      </c>
      <c r="AJ60" s="13">
        <f t="shared" si="27"/>
        <v>0.15625</v>
      </c>
      <c r="AK60" t="s">
        <v>917</v>
      </c>
      <c r="AL60" s="10">
        <v>0.3</v>
      </c>
      <c r="AM60" s="13">
        <f t="shared" si="28"/>
        <v>7.4999999999999997E-2</v>
      </c>
      <c r="AN60" s="13">
        <f t="shared" si="29"/>
        <v>0.18124999999999999</v>
      </c>
      <c r="AO60" t="s">
        <v>917</v>
      </c>
      <c r="AP60" s="10">
        <v>0.3</v>
      </c>
      <c r="AQ60" s="13">
        <f t="shared" si="30"/>
        <v>7.4999999999999997E-2</v>
      </c>
      <c r="AR60" s="13">
        <f t="shared" si="31"/>
        <v>0.43124999999999997</v>
      </c>
      <c r="AS60" t="s">
        <v>917</v>
      </c>
      <c r="AT60" t="str">
        <f t="shared" si="32"/>
        <v xml:space="preserve">ENERO:  FEBRERO: Plan de trabajo de la toma fisica inventarios
 MARZO: Informe de avance plan de trabajo inventarios  ABRIL: Informe de avance plan de trabajo inventarios  MAYO: Informe de avance plan de trabajo inventarios </v>
      </c>
      <c r="AU60" s="14">
        <f t="shared" si="33"/>
        <v>1</v>
      </c>
      <c r="AV60" s="13">
        <f t="shared" si="34"/>
        <v>0.25</v>
      </c>
      <c r="AW60" s="13">
        <f t="shared" si="35"/>
        <v>1</v>
      </c>
      <c r="AX60" t="s">
        <v>907</v>
      </c>
      <c r="AY60" t="s">
        <v>908</v>
      </c>
      <c r="AZ60" t="s">
        <v>909</v>
      </c>
      <c r="BA60" t="s">
        <v>910</v>
      </c>
      <c r="BD60" t="str">
        <f t="shared" si="36"/>
        <v>Adquirir los insumos para hacer los mantenimientos correspondientesImplementar el Plan de acción 2020 del Plan Institucional de Gestión Ambiental - PIGA, en el marco del sistema integrado de gestión.Llevar a cabo las actividades de planeación, ejecución, seguimiento y control del proyectoRealizar la Actualización de Inventarios</v>
      </c>
      <c r="BE60" t="e">
        <f>+VLOOKUP($N60,P1081_3,MATCH(BE$3,PAAC!#REF!,0),0)</f>
        <v>#NAME?</v>
      </c>
      <c r="BF60" t="e">
        <f>+VLOOKUP($N60,P1081_3,MATCH(BF$3,PAAC!#REF!,0),0)</f>
        <v>#NAME?</v>
      </c>
      <c r="BG60" t="e">
        <f>+VLOOKUP($N60,P1081_3,MATCH(BG$3,PAAC!#REF!,0),0)</f>
        <v>#NAME?</v>
      </c>
      <c r="BH60" t="e">
        <f>+VLOOKUP($N60,P1081_3,MATCH(BH$3,PAAC!#REF!,0),0)</f>
        <v>#NAME?</v>
      </c>
      <c r="BI60" t="e">
        <f>+VLOOKUP($N60,P1081_3,MATCH(BI$3,PAAC!#REF!,0),0)</f>
        <v>#NAME?</v>
      </c>
      <c r="BJ60" t="str">
        <f t="shared" si="37"/>
        <v/>
      </c>
    </row>
    <row r="61" spans="1:62" x14ac:dyDescent="0.3">
      <c r="A61">
        <v>117</v>
      </c>
      <c r="B61">
        <v>1127</v>
      </c>
      <c r="C61" t="s">
        <v>137</v>
      </c>
      <c r="D61">
        <v>1</v>
      </c>
      <c r="E61" t="s">
        <v>902</v>
      </c>
      <c r="F61" t="s">
        <v>596</v>
      </c>
      <c r="G61" t="s">
        <v>894</v>
      </c>
      <c r="H61" t="s">
        <v>134</v>
      </c>
      <c r="I61" t="s">
        <v>918</v>
      </c>
      <c r="J61" t="s">
        <v>919</v>
      </c>
      <c r="K61" t="s">
        <v>920</v>
      </c>
      <c r="L61" t="s">
        <v>638</v>
      </c>
      <c r="M61" t="s">
        <v>639</v>
      </c>
      <c r="N61" t="str">
        <f t="shared" si="20"/>
        <v>117_1</v>
      </c>
      <c r="O61">
        <v>1</v>
      </c>
      <c r="P61" s="13">
        <v>1</v>
      </c>
      <c r="Q61">
        <v>1</v>
      </c>
      <c r="R61" t="s">
        <v>921</v>
      </c>
      <c r="S61" t="s">
        <v>922</v>
      </c>
      <c r="T61" t="s">
        <v>134</v>
      </c>
      <c r="U61" s="13">
        <v>0.05</v>
      </c>
      <c r="V61" s="13">
        <f t="shared" si="21"/>
        <v>0.8</v>
      </c>
      <c r="W61" s="13">
        <f t="shared" si="18"/>
        <v>6.25E-2</v>
      </c>
      <c r="X61" s="9">
        <v>43966</v>
      </c>
      <c r="Y61" s="9">
        <v>43981</v>
      </c>
      <c r="Z61" s="10">
        <v>0</v>
      </c>
      <c r="AA61" s="13">
        <f t="shared" si="22"/>
        <v>0</v>
      </c>
      <c r="AB61" s="13">
        <f t="shared" si="23"/>
        <v>7.4999999999999997E-2</v>
      </c>
      <c r="AC61">
        <v>0</v>
      </c>
      <c r="AD61" s="10">
        <v>0</v>
      </c>
      <c r="AE61" s="13">
        <f t="shared" si="24"/>
        <v>0</v>
      </c>
      <c r="AF61" s="13">
        <f t="shared" si="25"/>
        <v>0.15625</v>
      </c>
      <c r="AG61">
        <v>0</v>
      </c>
      <c r="AH61" s="10">
        <v>0</v>
      </c>
      <c r="AI61" s="13">
        <f t="shared" si="26"/>
        <v>0</v>
      </c>
      <c r="AJ61" s="13">
        <f t="shared" si="27"/>
        <v>0.15625</v>
      </c>
      <c r="AK61">
        <v>0</v>
      </c>
      <c r="AL61" s="10">
        <v>0</v>
      </c>
      <c r="AM61" s="13">
        <f t="shared" si="28"/>
        <v>0</v>
      </c>
      <c r="AN61" s="13">
        <f t="shared" si="29"/>
        <v>0.18124999999999999</v>
      </c>
      <c r="AO61">
        <v>0</v>
      </c>
      <c r="AP61" s="10">
        <v>1</v>
      </c>
      <c r="AQ61" s="13">
        <f t="shared" si="30"/>
        <v>6.25E-2</v>
      </c>
      <c r="AR61" s="13">
        <f t="shared" si="31"/>
        <v>0.43124999999999997</v>
      </c>
      <c r="AS61">
        <v>0</v>
      </c>
      <c r="AT61" t="str">
        <f t="shared" si="32"/>
        <v>ENERO: 0 FEBRERO: 0 MARZO: 0 ABRIL: 0 MAYO: 0</v>
      </c>
      <c r="AU61" s="14">
        <f t="shared" si="33"/>
        <v>1</v>
      </c>
      <c r="AV61" s="13">
        <f t="shared" si="34"/>
        <v>6.25E-2</v>
      </c>
      <c r="AW61" s="13">
        <f t="shared" si="35"/>
        <v>1</v>
      </c>
      <c r="AX61" t="s">
        <v>922</v>
      </c>
      <c r="BD61" t="str">
        <f t="shared" si="36"/>
        <v>Llevar a cabo y hacer seguimiento y control a las obras de adecuación y conservación de la Secretaría General</v>
      </c>
      <c r="BE61" t="e">
        <f>+VLOOKUP($N61,P1081_3,MATCH(BE$3,PAAC!#REF!,0),0)</f>
        <v>#NAME?</v>
      </c>
      <c r="BF61" t="e">
        <f>+VLOOKUP($N61,P1081_3,MATCH(BF$3,PAAC!#REF!,0),0)</f>
        <v>#NAME?</v>
      </c>
      <c r="BG61" t="e">
        <f>+VLOOKUP($N61,P1081_3,MATCH(BG$3,PAAC!#REF!,0),0)</f>
        <v>#NAME?</v>
      </c>
      <c r="BH61" t="e">
        <f>+VLOOKUP($N61,P1081_3,MATCH(BH$3,PAAC!#REF!,0),0)</f>
        <v>#NAME?</v>
      </c>
      <c r="BI61" t="e">
        <f>+VLOOKUP($N61,P1081_3,MATCH(BI$3,PAAC!#REF!,0),0)</f>
        <v>#NAME?</v>
      </c>
      <c r="BJ61" t="str">
        <f t="shared" si="37"/>
        <v/>
      </c>
    </row>
    <row r="62" spans="1:62" x14ac:dyDescent="0.3">
      <c r="A62">
        <v>185</v>
      </c>
      <c r="B62">
        <v>1143</v>
      </c>
      <c r="C62" t="s">
        <v>143</v>
      </c>
      <c r="D62">
        <v>1</v>
      </c>
      <c r="E62" t="s">
        <v>923</v>
      </c>
      <c r="F62" t="s">
        <v>596</v>
      </c>
      <c r="G62" t="s">
        <v>669</v>
      </c>
      <c r="H62" t="s">
        <v>140</v>
      </c>
      <c r="I62" t="s">
        <v>924</v>
      </c>
      <c r="J62" t="s">
        <v>925</v>
      </c>
      <c r="K62" t="s">
        <v>926</v>
      </c>
      <c r="L62" t="s">
        <v>638</v>
      </c>
      <c r="M62" t="s">
        <v>639</v>
      </c>
      <c r="N62" t="str">
        <f t="shared" si="20"/>
        <v>185_1</v>
      </c>
      <c r="O62">
        <v>1</v>
      </c>
      <c r="P62" s="13">
        <v>1</v>
      </c>
      <c r="Q62">
        <v>1</v>
      </c>
      <c r="R62" t="s">
        <v>927</v>
      </c>
      <c r="S62" t="s">
        <v>928</v>
      </c>
      <c r="T62" t="s">
        <v>929</v>
      </c>
      <c r="U62" s="13">
        <v>0.125</v>
      </c>
      <c r="V62" s="13">
        <f t="shared" si="21"/>
        <v>0.5</v>
      </c>
      <c r="W62" s="13">
        <f t="shared" si="18"/>
        <v>0.25</v>
      </c>
      <c r="X62" s="9">
        <v>43831</v>
      </c>
      <c r="Y62" s="9">
        <v>43982</v>
      </c>
      <c r="Z62" s="10">
        <v>0.2</v>
      </c>
      <c r="AA62" s="13">
        <f t="shared" si="22"/>
        <v>0.05</v>
      </c>
      <c r="AB62" s="13">
        <f t="shared" si="23"/>
        <v>0.18727500000000002</v>
      </c>
      <c r="AC62" t="s">
        <v>930</v>
      </c>
      <c r="AD62" s="10">
        <v>0.2</v>
      </c>
      <c r="AE62" s="13">
        <f t="shared" si="24"/>
        <v>0.05</v>
      </c>
      <c r="AF62" s="13">
        <f t="shared" si="25"/>
        <v>0.199575</v>
      </c>
      <c r="AG62" t="s">
        <v>930</v>
      </c>
      <c r="AH62" s="10">
        <v>0.2</v>
      </c>
      <c r="AI62" s="13">
        <f t="shared" si="26"/>
        <v>0.05</v>
      </c>
      <c r="AJ62" s="13">
        <f t="shared" si="27"/>
        <v>0.20485</v>
      </c>
      <c r="AK62" t="s">
        <v>930</v>
      </c>
      <c r="AL62" s="10">
        <v>0.2</v>
      </c>
      <c r="AM62" s="13">
        <f t="shared" si="28"/>
        <v>0.05</v>
      </c>
      <c r="AN62" s="13">
        <f t="shared" si="29"/>
        <v>0.204125</v>
      </c>
      <c r="AO62" t="s">
        <v>930</v>
      </c>
      <c r="AP62" s="10">
        <v>0.2</v>
      </c>
      <c r="AQ62" s="13">
        <f t="shared" si="30"/>
        <v>0.05</v>
      </c>
      <c r="AR62" s="13">
        <f t="shared" si="31"/>
        <v>0.204175</v>
      </c>
      <c r="AS62" t="s">
        <v>930</v>
      </c>
      <c r="AT62" t="str">
        <f t="shared" si="32"/>
        <v>ENERO: Informe Gestión (Ejecución Contractual, Presupuestal, Sistema de Gestión de Calidad, Indicadores Proyecto de Inversión) FEBRERO: Informe Gestión (Ejecución Contractual, Presupuestal, Sistema de Gestión de Calidad, Indicadores Proyecto de Inversión) MARZO: Informe Gestión (Ejecución Contractual, Presupuestal, Sistema de Gestión de Calidad, Indicadores Proyecto de Inversión) ABRIL: Informe Gestión (Ejecución Contractual, Presupuestal, Sistema de Gestión de Calidad, Indicadores Proyecto de Inversión) MAYO: Informe Gestión (Ejecución Contractual, Presupuestal, Sistema de Gestión de Calidad, Indicadores Proyecto de Inversión)</v>
      </c>
      <c r="AU62" s="14">
        <f t="shared" si="33"/>
        <v>1</v>
      </c>
      <c r="AV62" s="13">
        <f t="shared" si="34"/>
        <v>0.25</v>
      </c>
      <c r="AW62" s="13">
        <f t="shared" si="35"/>
        <v>1</v>
      </c>
      <c r="AX62" t="s">
        <v>928</v>
      </c>
      <c r="AY62" t="s">
        <v>931</v>
      </c>
      <c r="AZ62" t="s">
        <v>932</v>
      </c>
      <c r="BA62" t="s">
        <v>933</v>
      </c>
      <c r="BD62" t="str">
        <f t="shared" si="36"/>
        <v>Apoyar el desarrollo de los procesos misionales de la oficina consejería de comunicaciones de la Secretaría General de la Alcaldia Mayor de BogotaDiseñar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
      <c r="BE62" t="e">
        <f>+VLOOKUP($N62,P1081_3,MATCH(BE$3,PAAC!#REF!,0),0)</f>
        <v>#NAME?</v>
      </c>
      <c r="BF62" t="e">
        <f>+VLOOKUP($N62,P1081_3,MATCH(BF$3,PAAC!#REF!,0),0)</f>
        <v>#NAME?</v>
      </c>
      <c r="BG62" t="e">
        <f>+VLOOKUP($N62,P1081_3,MATCH(BG$3,PAAC!#REF!,0),0)</f>
        <v>#NAME?</v>
      </c>
      <c r="BH62" t="e">
        <f>+VLOOKUP($N62,P1081_3,MATCH(BH$3,PAAC!#REF!,0),0)</f>
        <v>#NAME?</v>
      </c>
      <c r="BI62" t="e">
        <f>+VLOOKUP($N62,P1081_3,MATCH(BI$3,PAAC!#REF!,0),0)</f>
        <v>#NAME?</v>
      </c>
      <c r="BJ62" t="str">
        <f t="shared" si="37"/>
        <v/>
      </c>
    </row>
    <row r="63" spans="1:62" x14ac:dyDescent="0.3">
      <c r="A63">
        <v>185</v>
      </c>
      <c r="B63">
        <v>1143</v>
      </c>
      <c r="C63" t="s">
        <v>143</v>
      </c>
      <c r="D63">
        <v>1</v>
      </c>
      <c r="E63" t="s">
        <v>923</v>
      </c>
      <c r="F63" t="s">
        <v>596</v>
      </c>
      <c r="G63" t="s">
        <v>669</v>
      </c>
      <c r="H63" t="s">
        <v>140</v>
      </c>
      <c r="I63" t="s">
        <v>924</v>
      </c>
      <c r="J63" t="s">
        <v>925</v>
      </c>
      <c r="K63" t="s">
        <v>926</v>
      </c>
      <c r="L63" t="s">
        <v>638</v>
      </c>
      <c r="M63" t="s">
        <v>639</v>
      </c>
      <c r="N63" t="str">
        <f t="shared" si="20"/>
        <v>185_2</v>
      </c>
      <c r="O63">
        <v>1</v>
      </c>
      <c r="P63" s="13">
        <v>1</v>
      </c>
      <c r="Q63">
        <v>2</v>
      </c>
      <c r="R63" t="s">
        <v>934</v>
      </c>
      <c r="S63" t="s">
        <v>931</v>
      </c>
      <c r="T63" t="s">
        <v>929</v>
      </c>
      <c r="U63" s="13">
        <v>0.125</v>
      </c>
      <c r="V63" s="13">
        <f t="shared" si="21"/>
        <v>0.5</v>
      </c>
      <c r="W63" s="13">
        <f t="shared" si="18"/>
        <v>0.25</v>
      </c>
      <c r="X63" s="9">
        <v>43831</v>
      </c>
      <c r="Y63" s="9">
        <v>43982</v>
      </c>
      <c r="Z63" s="10">
        <v>0.18870000000000001</v>
      </c>
      <c r="AA63" s="13">
        <f t="shared" si="22"/>
        <v>4.7175000000000002E-2</v>
      </c>
      <c r="AB63" s="13">
        <f t="shared" si="23"/>
        <v>0.18727500000000002</v>
      </c>
      <c r="AC63" t="s">
        <v>935</v>
      </c>
      <c r="AD63" s="10">
        <v>0.18870000000000001</v>
      </c>
      <c r="AE63" s="13">
        <f t="shared" si="24"/>
        <v>4.7175000000000002E-2</v>
      </c>
      <c r="AF63" s="13">
        <f t="shared" si="25"/>
        <v>0.199575</v>
      </c>
      <c r="AG63" t="s">
        <v>935</v>
      </c>
      <c r="AH63" s="10">
        <v>0.20749999999999999</v>
      </c>
      <c r="AI63" s="13">
        <f t="shared" si="26"/>
        <v>5.1874999999999998E-2</v>
      </c>
      <c r="AJ63" s="13">
        <f t="shared" si="27"/>
        <v>0.20485</v>
      </c>
      <c r="AK63" t="s">
        <v>935</v>
      </c>
      <c r="AL63" s="10">
        <v>0.20749999999999999</v>
      </c>
      <c r="AM63" s="13">
        <f t="shared" si="28"/>
        <v>5.1874999999999998E-2</v>
      </c>
      <c r="AN63" s="13">
        <f t="shared" si="29"/>
        <v>0.204125</v>
      </c>
      <c r="AO63" t="s">
        <v>935</v>
      </c>
      <c r="AP63" s="10">
        <v>0.20760000000000001</v>
      </c>
      <c r="AQ63" s="13">
        <f t="shared" si="30"/>
        <v>5.1900000000000002E-2</v>
      </c>
      <c r="AR63" s="13">
        <f t="shared" si="31"/>
        <v>0.204175</v>
      </c>
      <c r="AS63" t="s">
        <v>935</v>
      </c>
      <c r="AT63" t="str">
        <f t="shared" si="32"/>
        <v>ENERO: Publicaciones Soy 10 FEBRERO: Publicaciones Soy 10 MARZO: Publicaciones Soy 10 ABRIL: Publicaciones Soy 10 MAYO: Publicaciones Soy 10</v>
      </c>
      <c r="AU63" s="14">
        <f t="shared" si="33"/>
        <v>1</v>
      </c>
      <c r="AV63" s="13">
        <f t="shared" si="34"/>
        <v>0.25</v>
      </c>
      <c r="AW63" s="13">
        <f t="shared" si="35"/>
        <v>1</v>
      </c>
      <c r="AX63" t="s">
        <v>928</v>
      </c>
      <c r="AY63" t="s">
        <v>931</v>
      </c>
      <c r="AZ63" t="s">
        <v>932</v>
      </c>
      <c r="BA63" t="s">
        <v>933</v>
      </c>
      <c r="BD63" t="str">
        <f t="shared" si="36"/>
        <v>Apoyar el desarrollo de los procesos misionales de la oficina consejería de comunicaciones de la Secretaría General de la Alcaldia Mayor de BogotaDiseñar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
      <c r="BE63" t="e">
        <f>+VLOOKUP($N63,P1081_3,MATCH(BE$3,PAAC!#REF!,0),0)</f>
        <v>#NAME?</v>
      </c>
      <c r="BF63" t="e">
        <f>+VLOOKUP($N63,P1081_3,MATCH(BF$3,PAAC!#REF!,0),0)</f>
        <v>#NAME?</v>
      </c>
      <c r="BG63" t="e">
        <f>+VLOOKUP($N63,P1081_3,MATCH(BG$3,PAAC!#REF!,0),0)</f>
        <v>#NAME?</v>
      </c>
      <c r="BH63" t="e">
        <f>+VLOOKUP($N63,P1081_3,MATCH(BH$3,PAAC!#REF!,0),0)</f>
        <v>#NAME?</v>
      </c>
      <c r="BI63" t="e">
        <f>+VLOOKUP($N63,P1081_3,MATCH(BI$3,PAAC!#REF!,0),0)</f>
        <v>#NAME?</v>
      </c>
      <c r="BJ63" t="str">
        <f t="shared" si="37"/>
        <v/>
      </c>
    </row>
    <row r="64" spans="1:62" x14ac:dyDescent="0.3">
      <c r="A64">
        <v>185</v>
      </c>
      <c r="B64">
        <v>1143</v>
      </c>
      <c r="C64" t="s">
        <v>143</v>
      </c>
      <c r="D64">
        <v>1</v>
      </c>
      <c r="E64" t="s">
        <v>923</v>
      </c>
      <c r="F64" t="s">
        <v>596</v>
      </c>
      <c r="G64" t="s">
        <v>669</v>
      </c>
      <c r="H64" t="s">
        <v>140</v>
      </c>
      <c r="I64" t="s">
        <v>924</v>
      </c>
      <c r="J64" t="s">
        <v>925</v>
      </c>
      <c r="K64" t="s">
        <v>926</v>
      </c>
      <c r="L64" t="s">
        <v>638</v>
      </c>
      <c r="M64" t="s">
        <v>639</v>
      </c>
      <c r="N64" t="str">
        <f t="shared" si="20"/>
        <v>185_3</v>
      </c>
      <c r="O64">
        <v>1</v>
      </c>
      <c r="P64" s="13">
        <v>1</v>
      </c>
      <c r="Q64">
        <v>3</v>
      </c>
      <c r="R64" t="s">
        <v>936</v>
      </c>
      <c r="S64" t="s">
        <v>932</v>
      </c>
      <c r="T64" t="s">
        <v>929</v>
      </c>
      <c r="U64" s="13">
        <v>0.125</v>
      </c>
      <c r="V64" s="13">
        <f t="shared" si="21"/>
        <v>0.5</v>
      </c>
      <c r="W64" s="13">
        <f t="shared" si="18"/>
        <v>0.25</v>
      </c>
      <c r="X64" s="9">
        <v>43831</v>
      </c>
      <c r="Y64" s="9">
        <v>43982</v>
      </c>
      <c r="Z64" s="10">
        <v>0.19939999999999999</v>
      </c>
      <c r="AA64" s="13">
        <f t="shared" si="22"/>
        <v>4.9849999999999998E-2</v>
      </c>
      <c r="AB64" s="13">
        <f t="shared" si="23"/>
        <v>0.18727500000000002</v>
      </c>
      <c r="AC64" t="s">
        <v>937</v>
      </c>
      <c r="AD64" s="10">
        <v>0.19939999999999999</v>
      </c>
      <c r="AE64" s="13">
        <f t="shared" si="24"/>
        <v>4.9849999999999998E-2</v>
      </c>
      <c r="AF64" s="13">
        <f t="shared" si="25"/>
        <v>0.199575</v>
      </c>
      <c r="AG64" t="s">
        <v>937</v>
      </c>
      <c r="AH64" s="10">
        <v>0.20230000000000001</v>
      </c>
      <c r="AI64" s="13">
        <f t="shared" si="26"/>
        <v>5.0575000000000002E-2</v>
      </c>
      <c r="AJ64" s="13">
        <f t="shared" si="27"/>
        <v>0.20485</v>
      </c>
      <c r="AK64" t="s">
        <v>938</v>
      </c>
      <c r="AL64" s="10">
        <v>0.19939999999999999</v>
      </c>
      <c r="AM64" s="13">
        <f t="shared" si="28"/>
        <v>4.9849999999999998E-2</v>
      </c>
      <c r="AN64" s="13">
        <f t="shared" si="29"/>
        <v>0.204125</v>
      </c>
      <c r="AO64" t="s">
        <v>938</v>
      </c>
      <c r="AP64" s="10">
        <v>0.19950000000000001</v>
      </c>
      <c r="AQ64" s="13">
        <f t="shared" si="30"/>
        <v>4.9875000000000003E-2</v>
      </c>
      <c r="AR64" s="13">
        <f t="shared" si="31"/>
        <v>0.204175</v>
      </c>
      <c r="AS64" t="s">
        <v>938</v>
      </c>
      <c r="AT64" t="str">
        <f t="shared" si="32"/>
        <v>ENERO: Piezas Comunicacionales (Productos Audiovisuales) FEBRERO: Piezas Comunicacionales (Productos Audiovisuales) MARZO: Campañas Internas Secretaría General ABRIL: Campañas Internas Secretaría General MAYO: Campañas Internas Secretaría General</v>
      </c>
      <c r="AU64" s="14">
        <f t="shared" si="33"/>
        <v>1</v>
      </c>
      <c r="AV64" s="13">
        <f t="shared" si="34"/>
        <v>0.25</v>
      </c>
      <c r="AW64" s="13">
        <f t="shared" si="35"/>
        <v>1</v>
      </c>
      <c r="AX64" t="s">
        <v>928</v>
      </c>
      <c r="AY64" t="s">
        <v>931</v>
      </c>
      <c r="AZ64" t="s">
        <v>932</v>
      </c>
      <c r="BA64" t="s">
        <v>933</v>
      </c>
      <c r="BD64" t="str">
        <f t="shared" si="36"/>
        <v>Apoyar el desarrollo de los procesos misionales de la oficina consejería de comunicaciones de la Secretaría General de la Alcaldia Mayor de BogotaDiseñar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
      <c r="BE64" t="e">
        <f>+VLOOKUP($N64,P1081_3,MATCH(BE$3,PAAC!#REF!,0),0)</f>
        <v>#NAME?</v>
      </c>
      <c r="BF64" t="e">
        <f>+VLOOKUP($N64,P1081_3,MATCH(BF$3,PAAC!#REF!,0),0)</f>
        <v>#NAME?</v>
      </c>
      <c r="BG64" t="e">
        <f>+VLOOKUP($N64,P1081_3,MATCH(BG$3,PAAC!#REF!,0),0)</f>
        <v>#NAME?</v>
      </c>
      <c r="BH64" t="e">
        <f>+VLOOKUP($N64,P1081_3,MATCH(BH$3,PAAC!#REF!,0),0)</f>
        <v>#NAME?</v>
      </c>
      <c r="BI64" t="e">
        <f>+VLOOKUP($N64,P1081_3,MATCH(BI$3,PAAC!#REF!,0),0)</f>
        <v>#NAME?</v>
      </c>
      <c r="BJ64" t="str">
        <f t="shared" si="37"/>
        <v/>
      </c>
    </row>
    <row r="65" spans="1:62" x14ac:dyDescent="0.3">
      <c r="A65">
        <v>185</v>
      </c>
      <c r="B65">
        <v>1143</v>
      </c>
      <c r="C65" t="s">
        <v>143</v>
      </c>
      <c r="D65">
        <v>1</v>
      </c>
      <c r="E65" t="s">
        <v>923</v>
      </c>
      <c r="F65" t="s">
        <v>596</v>
      </c>
      <c r="G65" t="s">
        <v>669</v>
      </c>
      <c r="H65" t="s">
        <v>140</v>
      </c>
      <c r="I65" t="s">
        <v>924</v>
      </c>
      <c r="J65" t="s">
        <v>925</v>
      </c>
      <c r="K65" t="s">
        <v>926</v>
      </c>
      <c r="L65" t="s">
        <v>638</v>
      </c>
      <c r="M65" t="s">
        <v>639</v>
      </c>
      <c r="N65" t="str">
        <f t="shared" si="20"/>
        <v>185_4</v>
      </c>
      <c r="O65">
        <v>1</v>
      </c>
      <c r="P65" s="13">
        <v>1</v>
      </c>
      <c r="Q65">
        <v>4</v>
      </c>
      <c r="R65" t="s">
        <v>939</v>
      </c>
      <c r="S65" t="s">
        <v>933</v>
      </c>
      <c r="T65" t="s">
        <v>929</v>
      </c>
      <c r="U65" s="13">
        <v>0.125</v>
      </c>
      <c r="V65" s="13">
        <f t="shared" si="21"/>
        <v>0.5</v>
      </c>
      <c r="W65" s="13">
        <f t="shared" si="18"/>
        <v>0.25</v>
      </c>
      <c r="X65" s="9">
        <v>43831</v>
      </c>
      <c r="Y65" s="9">
        <v>43982</v>
      </c>
      <c r="Z65" s="10">
        <v>0.161</v>
      </c>
      <c r="AA65" s="13">
        <f t="shared" si="22"/>
        <v>4.0250000000000001E-2</v>
      </c>
      <c r="AB65" s="13">
        <f t="shared" si="23"/>
        <v>0.18727500000000002</v>
      </c>
      <c r="AC65" t="s">
        <v>940</v>
      </c>
      <c r="AD65" s="10">
        <v>0.2102</v>
      </c>
      <c r="AE65" s="13">
        <f t="shared" si="24"/>
        <v>5.2549999999999999E-2</v>
      </c>
      <c r="AF65" s="13">
        <f t="shared" si="25"/>
        <v>0.199575</v>
      </c>
      <c r="AG65" t="s">
        <v>940</v>
      </c>
      <c r="AH65" s="10">
        <v>0.20960000000000001</v>
      </c>
      <c r="AI65" s="13">
        <f t="shared" si="26"/>
        <v>5.2400000000000002E-2</v>
      </c>
      <c r="AJ65" s="13">
        <f t="shared" si="27"/>
        <v>0.20485</v>
      </c>
      <c r="AK65" t="s">
        <v>937</v>
      </c>
      <c r="AL65" s="10">
        <v>0.20960000000000001</v>
      </c>
      <c r="AM65" s="13">
        <f t="shared" si="28"/>
        <v>5.2400000000000002E-2</v>
      </c>
      <c r="AN65" s="13">
        <f t="shared" si="29"/>
        <v>0.204125</v>
      </c>
      <c r="AO65" t="s">
        <v>937</v>
      </c>
      <c r="AP65" s="10">
        <v>0.20960000000000001</v>
      </c>
      <c r="AQ65" s="13">
        <f t="shared" si="30"/>
        <v>5.2400000000000002E-2</v>
      </c>
      <c r="AR65" s="13">
        <f t="shared" si="31"/>
        <v>0.204175</v>
      </c>
      <c r="AS65" t="s">
        <v>937</v>
      </c>
      <c r="AT65" t="str">
        <f t="shared" si="32"/>
        <v>ENERO: Boletines Informativos FEBRERO: Boletines Informativos MARZO: Piezas Comunicacionales (Productos Audiovisuales) ABRIL: Piezas Comunicacionales (Productos Audiovisuales) MAYO: Piezas Comunicacionales (Productos Audiovisuales)</v>
      </c>
      <c r="AU65" s="14">
        <f t="shared" si="33"/>
        <v>1</v>
      </c>
      <c r="AV65" s="13">
        <f t="shared" si="34"/>
        <v>0.25</v>
      </c>
      <c r="AW65" s="13">
        <f t="shared" si="35"/>
        <v>1</v>
      </c>
      <c r="AX65" t="s">
        <v>928</v>
      </c>
      <c r="AY65" t="s">
        <v>931</v>
      </c>
      <c r="AZ65" t="s">
        <v>932</v>
      </c>
      <c r="BA65" t="s">
        <v>933</v>
      </c>
      <c r="BD65" t="str">
        <f t="shared" si="36"/>
        <v>Apoyar el desarrollo de los procesos misionales de la oficina consejería de comunicaciones de la Secretaría General de la Alcaldia Mayor de BogotaDiseñar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
      <c r="BE65" t="e">
        <f>+VLOOKUP($N65,P1081_3,MATCH(BE$3,PAAC!#REF!,0),0)</f>
        <v>#NAME?</v>
      </c>
      <c r="BF65" t="e">
        <f>+VLOOKUP($N65,P1081_3,MATCH(BF$3,PAAC!#REF!,0),0)</f>
        <v>#NAME?</v>
      </c>
      <c r="BG65" t="e">
        <f>+VLOOKUP($N65,P1081_3,MATCH(BG$3,PAAC!#REF!,0),0)</f>
        <v>#NAME?</v>
      </c>
      <c r="BH65" t="e">
        <f>+VLOOKUP($N65,P1081_3,MATCH(BH$3,PAAC!#REF!,0),0)</f>
        <v>#NAME?</v>
      </c>
      <c r="BI65" t="e">
        <f>+VLOOKUP($N65,P1081_3,MATCH(BI$3,PAAC!#REF!,0),0)</f>
        <v>#NAME?</v>
      </c>
      <c r="BJ65" t="str">
        <f t="shared" si="37"/>
        <v/>
      </c>
    </row>
    <row r="66" spans="1:62" x14ac:dyDescent="0.3">
      <c r="A66">
        <v>186</v>
      </c>
      <c r="B66">
        <v>1143</v>
      </c>
      <c r="C66" t="s">
        <v>143</v>
      </c>
      <c r="D66">
        <v>3</v>
      </c>
      <c r="E66" t="s">
        <v>941</v>
      </c>
      <c r="F66" t="s">
        <v>596</v>
      </c>
      <c r="G66" t="s">
        <v>669</v>
      </c>
      <c r="H66" t="s">
        <v>140</v>
      </c>
      <c r="I66" t="s">
        <v>942</v>
      </c>
      <c r="J66" t="s">
        <v>943</v>
      </c>
      <c r="K66" t="s">
        <v>944</v>
      </c>
      <c r="L66" t="s">
        <v>638</v>
      </c>
      <c r="M66" t="s">
        <v>639</v>
      </c>
      <c r="N66" t="str">
        <f t="shared" si="20"/>
        <v>186_1</v>
      </c>
      <c r="O66">
        <v>1</v>
      </c>
      <c r="P66" s="13">
        <v>1</v>
      </c>
      <c r="Q66">
        <v>1</v>
      </c>
      <c r="R66" t="s">
        <v>945</v>
      </c>
      <c r="S66" t="s">
        <v>946</v>
      </c>
      <c r="T66" t="s">
        <v>929</v>
      </c>
      <c r="U66" s="13">
        <v>0.25</v>
      </c>
      <c r="V66" s="13">
        <f t="shared" si="21"/>
        <v>0.5</v>
      </c>
      <c r="W66" s="13">
        <f t="shared" si="18"/>
        <v>0.5</v>
      </c>
      <c r="X66" s="9">
        <v>43831</v>
      </c>
      <c r="Y66" s="9">
        <v>43982</v>
      </c>
      <c r="Z66" s="10">
        <v>0.2</v>
      </c>
      <c r="AA66" s="13">
        <f t="shared" si="22"/>
        <v>0.1</v>
      </c>
      <c r="AB66" s="13">
        <f t="shared" si="23"/>
        <v>0.1</v>
      </c>
      <c r="AC66" t="s">
        <v>947</v>
      </c>
      <c r="AD66" s="10">
        <v>0.2</v>
      </c>
      <c r="AE66" s="13">
        <f t="shared" si="24"/>
        <v>0.1</v>
      </c>
      <c r="AF66" s="13">
        <f t="shared" si="25"/>
        <v>0.6</v>
      </c>
      <c r="AG66" t="s">
        <v>947</v>
      </c>
      <c r="AH66" s="10">
        <v>0.2</v>
      </c>
      <c r="AI66" s="13">
        <f t="shared" si="26"/>
        <v>0.1</v>
      </c>
      <c r="AJ66" s="13">
        <f t="shared" si="27"/>
        <v>0.1</v>
      </c>
      <c r="AK66" t="s">
        <v>947</v>
      </c>
      <c r="AL66" s="10">
        <v>0.2</v>
      </c>
      <c r="AM66" s="13">
        <f t="shared" si="28"/>
        <v>0.1</v>
      </c>
      <c r="AN66" s="13">
        <f t="shared" si="29"/>
        <v>0.1</v>
      </c>
      <c r="AO66" t="s">
        <v>947</v>
      </c>
      <c r="AP66" s="10">
        <v>0.2</v>
      </c>
      <c r="AQ66" s="13">
        <f t="shared" si="30"/>
        <v>0.1</v>
      </c>
      <c r="AR66" s="13">
        <f t="shared" si="31"/>
        <v>0.1</v>
      </c>
      <c r="AS66" t="s">
        <v>947</v>
      </c>
      <c r="AT66" t="str">
        <f t="shared" si="32"/>
        <v>ENERO: Informe Estrategico de Medios (Monitoreo) FEBRERO: Informe Estrategico de Medios (Monitoreo) MARZO: Informe Estrategico de Medios (Monitoreo) ABRIL: Informe Estrategico de Medios (Monitoreo) MAYO: Informe Estrategico de Medios (Monitoreo)</v>
      </c>
      <c r="AU66" s="14">
        <f t="shared" si="33"/>
        <v>1</v>
      </c>
      <c r="AV66" s="13">
        <f t="shared" si="34"/>
        <v>0.5</v>
      </c>
      <c r="AW66" s="13">
        <f t="shared" si="35"/>
        <v>1</v>
      </c>
      <c r="AX66" t="s">
        <v>946</v>
      </c>
      <c r="AY66" t="s">
        <v>948</v>
      </c>
      <c r="BD66" t="str">
        <f t="shared" si="36"/>
        <v>Realizar el monitoreo permanente de la información generada respecto de la Alcaldía Mayor de Bogotá D.C., en los diferentes medios de comunicaciónRealizar medición y análisis de opinión pública de manera cuantitativa y cualitativa en el distrito capital, abordando diferentes temáticas</v>
      </c>
      <c r="BE66" t="e">
        <f>+VLOOKUP($N66,P1081_3,MATCH(BE$3,PAAC!#REF!,0),0)</f>
        <v>#NAME?</v>
      </c>
      <c r="BF66" t="e">
        <f>+VLOOKUP($N66,P1081_3,MATCH(BF$3,PAAC!#REF!,0),0)</f>
        <v>#NAME?</v>
      </c>
      <c r="BG66" t="e">
        <f>+VLOOKUP($N66,P1081_3,MATCH(BG$3,PAAC!#REF!,0),0)</f>
        <v>#NAME?</v>
      </c>
      <c r="BH66" t="e">
        <f>+VLOOKUP($N66,P1081_3,MATCH(BH$3,PAAC!#REF!,0),0)</f>
        <v>#NAME?</v>
      </c>
      <c r="BI66" t="e">
        <f>+VLOOKUP($N66,P1081_3,MATCH(BI$3,PAAC!#REF!,0),0)</f>
        <v>#NAME?</v>
      </c>
      <c r="BJ66" t="str">
        <f t="shared" si="37"/>
        <v/>
      </c>
    </row>
    <row r="67" spans="1:62" x14ac:dyDescent="0.3">
      <c r="A67">
        <v>186</v>
      </c>
      <c r="B67">
        <v>1143</v>
      </c>
      <c r="C67" t="s">
        <v>143</v>
      </c>
      <c r="D67">
        <v>3</v>
      </c>
      <c r="E67" t="s">
        <v>941</v>
      </c>
      <c r="F67" t="s">
        <v>596</v>
      </c>
      <c r="G67" t="s">
        <v>669</v>
      </c>
      <c r="H67" t="s">
        <v>140</v>
      </c>
      <c r="I67" t="s">
        <v>942</v>
      </c>
      <c r="J67" t="s">
        <v>943</v>
      </c>
      <c r="K67" t="s">
        <v>944</v>
      </c>
      <c r="L67" t="s">
        <v>638</v>
      </c>
      <c r="M67" t="s">
        <v>639</v>
      </c>
      <c r="N67" t="str">
        <f t="shared" si="20"/>
        <v>186_2</v>
      </c>
      <c r="O67">
        <v>1</v>
      </c>
      <c r="P67" s="13">
        <v>1</v>
      </c>
      <c r="Q67">
        <v>2</v>
      </c>
      <c r="R67" t="s">
        <v>949</v>
      </c>
      <c r="S67" t="s">
        <v>948</v>
      </c>
      <c r="T67" t="s">
        <v>929</v>
      </c>
      <c r="U67" s="13">
        <v>0.25</v>
      </c>
      <c r="V67" s="13">
        <f t="shared" si="21"/>
        <v>0.5</v>
      </c>
      <c r="W67" s="13">
        <f t="shared" si="18"/>
        <v>0.5</v>
      </c>
      <c r="X67" s="9">
        <v>43831</v>
      </c>
      <c r="Y67" s="9">
        <v>43982</v>
      </c>
      <c r="Z67" s="10">
        <v>0</v>
      </c>
      <c r="AA67" s="13">
        <f t="shared" si="22"/>
        <v>0</v>
      </c>
      <c r="AB67" s="13">
        <f t="shared" si="23"/>
        <v>0.1</v>
      </c>
      <c r="AC67">
        <v>0</v>
      </c>
      <c r="AD67" s="10">
        <v>1</v>
      </c>
      <c r="AE67" s="13">
        <f t="shared" si="24"/>
        <v>0.5</v>
      </c>
      <c r="AF67" s="13">
        <f t="shared" si="25"/>
        <v>0.6</v>
      </c>
      <c r="AG67" t="s">
        <v>950</v>
      </c>
      <c r="AH67" s="10">
        <v>0</v>
      </c>
      <c r="AI67" s="13">
        <f t="shared" si="26"/>
        <v>0</v>
      </c>
      <c r="AJ67" s="13">
        <f t="shared" si="27"/>
        <v>0.1</v>
      </c>
      <c r="AK67">
        <v>0</v>
      </c>
      <c r="AL67" s="10">
        <v>0</v>
      </c>
      <c r="AM67" s="13">
        <f t="shared" si="28"/>
        <v>0</v>
      </c>
      <c r="AN67" s="13">
        <f t="shared" si="29"/>
        <v>0.1</v>
      </c>
      <c r="AO67">
        <v>0</v>
      </c>
      <c r="AP67" s="10">
        <v>0</v>
      </c>
      <c r="AQ67" s="13">
        <f t="shared" si="30"/>
        <v>0</v>
      </c>
      <c r="AR67" s="13">
        <f t="shared" si="31"/>
        <v>0.1</v>
      </c>
      <c r="AS67">
        <v>0</v>
      </c>
      <c r="AT67" t="str">
        <f t="shared" si="32"/>
        <v>ENERO: 0 FEBRERO: Informe de Percepción Ciudadana MARZO: 0 ABRIL: 0 MAYO: 0</v>
      </c>
      <c r="AU67" s="14">
        <f t="shared" si="33"/>
        <v>1</v>
      </c>
      <c r="AV67" s="13">
        <f t="shared" si="34"/>
        <v>0.5</v>
      </c>
      <c r="AW67" s="13">
        <f t="shared" si="35"/>
        <v>1</v>
      </c>
      <c r="AX67" t="s">
        <v>946</v>
      </c>
      <c r="AY67" t="s">
        <v>948</v>
      </c>
      <c r="BD67" t="str">
        <f t="shared" si="36"/>
        <v>Realizar el monitoreo permanente de la información generada respecto de la Alcaldía Mayor de Bogotá D.C., en los diferentes medios de comunicaciónRealizar medición y análisis de opinión pública de manera cuantitativa y cualitativa en el distrito capital, abordando diferentes temáticas</v>
      </c>
      <c r="BE67" t="e">
        <f>+VLOOKUP($N67,P1081_3,MATCH(BE$3,PAAC!#REF!,0),0)</f>
        <v>#NAME?</v>
      </c>
      <c r="BF67" t="e">
        <f>+VLOOKUP($N67,P1081_3,MATCH(BF$3,PAAC!#REF!,0),0)</f>
        <v>#NAME?</v>
      </c>
      <c r="BG67" t="e">
        <f>+VLOOKUP($N67,P1081_3,MATCH(BG$3,PAAC!#REF!,0),0)</f>
        <v>#NAME?</v>
      </c>
      <c r="BH67" t="e">
        <f>+VLOOKUP($N67,P1081_3,MATCH(BH$3,PAAC!#REF!,0),0)</f>
        <v>#NAME?</v>
      </c>
      <c r="BI67" t="e">
        <f>+VLOOKUP($N67,P1081_3,MATCH(BI$3,PAAC!#REF!,0),0)</f>
        <v>#NAME?</v>
      </c>
      <c r="BJ67" t="str">
        <f t="shared" si="37"/>
        <v/>
      </c>
    </row>
    <row r="68" spans="1:62" x14ac:dyDescent="0.3">
      <c r="A68">
        <v>162</v>
      </c>
      <c r="B68">
        <v>1156</v>
      </c>
      <c r="C68" t="s">
        <v>149</v>
      </c>
      <c r="D68">
        <v>8</v>
      </c>
      <c r="E68" t="s">
        <v>951</v>
      </c>
      <c r="F68" t="s">
        <v>952</v>
      </c>
      <c r="G68" t="s">
        <v>953</v>
      </c>
      <c r="H68" t="s">
        <v>146</v>
      </c>
      <c r="I68" t="s">
        <v>954</v>
      </c>
      <c r="J68" t="s">
        <v>955</v>
      </c>
      <c r="K68" t="s">
        <v>956</v>
      </c>
      <c r="L68" t="s">
        <v>601</v>
      </c>
      <c r="M68" t="s">
        <v>602</v>
      </c>
      <c r="N68" t="str">
        <f t="shared" ref="N68:N86" si="38">+A68&amp;"_"&amp;Q68</f>
        <v>162_1</v>
      </c>
      <c r="O68">
        <v>100</v>
      </c>
      <c r="P68" s="13">
        <v>1</v>
      </c>
      <c r="Q68">
        <v>1</v>
      </c>
      <c r="R68" t="s">
        <v>957</v>
      </c>
      <c r="S68" t="s">
        <v>958</v>
      </c>
      <c r="T68" t="s">
        <v>959</v>
      </c>
      <c r="U68" s="13">
        <v>0.06</v>
      </c>
      <c r="V68" s="13">
        <f t="shared" ref="V68:V86" si="39">+SUMIF($E$4:$E$86,E68,$U$4:$U$86)</f>
        <v>0.24000000000000002</v>
      </c>
      <c r="W68" s="13">
        <f t="shared" si="18"/>
        <v>0.24999999999999997</v>
      </c>
      <c r="X68" s="9">
        <v>43831</v>
      </c>
      <c r="Y68" s="9">
        <v>43982</v>
      </c>
      <c r="Z68" s="10">
        <v>0</v>
      </c>
      <c r="AA68" s="13">
        <f t="shared" ref="AA68:AA86" si="40">+Z68*$W68</f>
        <v>0</v>
      </c>
      <c r="AB68" s="13">
        <f t="shared" ref="AB68:AB86" si="41">+SUMIF($E$4:$E$86,$E68,AA$4:AA$86)</f>
        <v>2.3749999999999997E-2</v>
      </c>
      <c r="AC68" t="s">
        <v>960</v>
      </c>
      <c r="AD68" s="10">
        <v>0.18</v>
      </c>
      <c r="AE68" s="13">
        <f t="shared" ref="AE68:AE86" si="42">+AD68*$W68</f>
        <v>4.4999999999999991E-2</v>
      </c>
      <c r="AF68" s="13">
        <f t="shared" ref="AF68:AF86" si="43">+SUMIF($E$4:$E$86,$E68,AE$4:AE$86)</f>
        <v>0.14833333333333332</v>
      </c>
      <c r="AG68" t="s">
        <v>960</v>
      </c>
      <c r="AH68" s="10">
        <v>0.41</v>
      </c>
      <c r="AI68" s="13">
        <f t="shared" ref="AI68:AI86" si="44">+AH68*$W68</f>
        <v>0.10249999999999998</v>
      </c>
      <c r="AJ68" s="13">
        <f t="shared" ref="AJ68:AJ86" si="45">+SUMIF($E$4:$E$86,$E68,AI$4:AI$86)</f>
        <v>0.37208333333333332</v>
      </c>
      <c r="AK68" t="s">
        <v>960</v>
      </c>
      <c r="AL68" s="10">
        <v>0.24</v>
      </c>
      <c r="AM68" s="13">
        <f t="shared" ref="AM68:AM86" si="46">+AL68*$W68</f>
        <v>5.9999999999999991E-2</v>
      </c>
      <c r="AN68" s="13">
        <f t="shared" ref="AN68:AN86" si="47">+SUMIF($E$4:$E$86,$E68,AM$4:AM$86)</f>
        <v>0.21249999999999999</v>
      </c>
      <c r="AO68" t="s">
        <v>960</v>
      </c>
      <c r="AP68" s="10">
        <v>0.17</v>
      </c>
      <c r="AQ68" s="13">
        <f t="shared" ref="AQ68:AQ86" si="48">+AP68*$W68</f>
        <v>4.2499999999999996E-2</v>
      </c>
      <c r="AR68" s="13">
        <f t="shared" ref="AR68:AR86" si="49">+SUMIF($E$4:$E$86,$E68,AQ$4:AQ$86)</f>
        <v>0.24333333333333332</v>
      </c>
      <c r="AS68" t="s">
        <v>960</v>
      </c>
      <c r="AT68" t="str">
        <f t="shared" ref="AT68:AT86" si="50">+"ENERO: "&amp;AC68&amp;" FEBRERO: "&amp;AG68&amp;" MARZO: "&amp;AK68&amp;" ABRIL: "&amp;AO68&amp;" MAYO: "&amp;AS68</f>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68" s="14">
        <f t="shared" ref="AU68:AU85" si="51">+Z68+AD68+AH68+AL68+AP68</f>
        <v>1</v>
      </c>
      <c r="AV68" s="13">
        <f t="shared" ref="AV68:AV86" si="52">+AU68*$W68</f>
        <v>0.24999999999999997</v>
      </c>
      <c r="AW68" s="13">
        <f t="shared" ref="AW68:AW86" si="53">+SUMIF($E$4:$E$86,$E68,AV$4:AV$86)</f>
        <v>0.99999999999999989</v>
      </c>
      <c r="AX68" t="s">
        <v>958</v>
      </c>
      <c r="AY68" t="s">
        <v>961</v>
      </c>
      <c r="AZ68" t="s">
        <v>962</v>
      </c>
      <c r="BA68" t="s">
        <v>963</v>
      </c>
      <c r="BB68" t="s">
        <v>964</v>
      </c>
      <c r="BD68" t="str">
        <f t="shared" ref="BD68:BD86" si="54">+_xlfn.CONCAT(AX68:BC68)</f>
        <v>Desarrollar  productos culturales y artísticos creados para la ciudadanía en temas de memoria, paz y reconciliaciónDesarrollar actividades de desarrollo empresarial y formación para el trabajo, en las fases de alistamiento, implementación y seguimiento.Desarrollar productos educativos para la pedagogía social y la formación de ciudadanía en memoria, paz y reconciliaciónImplementación  de medidas del plan de retornos o reubicacionesPriorizar, implementar y monitorear las medidas de reparación con los sujetos colectivos de acuerdo con los compromisos adquiridos por el Distrito</v>
      </c>
      <c r="BE68" t="e">
        <f>+VLOOKUP($N68,P1081_3,MATCH(BE$3,PAAC!#REF!,0),0)</f>
        <v>#NAME?</v>
      </c>
      <c r="BF68" t="e">
        <f>+VLOOKUP($N68,P1081_3,MATCH(BF$3,PAAC!#REF!,0),0)</f>
        <v>#NAME?</v>
      </c>
      <c r="BG68" t="e">
        <f>+VLOOKUP($N68,P1081_3,MATCH(BG$3,PAAC!#REF!,0),0)</f>
        <v>#NAME?</v>
      </c>
      <c r="BH68" t="e">
        <f>+VLOOKUP($N68,P1081_3,MATCH(BH$3,PAAC!#REF!,0),0)</f>
        <v>#NAME?</v>
      </c>
      <c r="BI68" t="e">
        <f>+VLOOKUP($N68,P1081_3,MATCH(BI$3,PAAC!#REF!,0),0)</f>
        <v>#NAME?</v>
      </c>
      <c r="BJ68" t="str">
        <f t="shared" ref="BJ68:BJ86" si="55">+IFERROR(AVERAGEIF(BE68:BI68,"&lt;&gt;0"),"")</f>
        <v/>
      </c>
    </row>
    <row r="69" spans="1:62" x14ac:dyDescent="0.3">
      <c r="A69">
        <v>162</v>
      </c>
      <c r="B69">
        <v>1156</v>
      </c>
      <c r="C69" t="s">
        <v>149</v>
      </c>
      <c r="D69">
        <v>8</v>
      </c>
      <c r="E69" t="s">
        <v>951</v>
      </c>
      <c r="F69" t="s">
        <v>952</v>
      </c>
      <c r="G69" t="s">
        <v>953</v>
      </c>
      <c r="H69" t="s">
        <v>146</v>
      </c>
      <c r="I69" t="s">
        <v>954</v>
      </c>
      <c r="J69" t="s">
        <v>955</v>
      </c>
      <c r="K69" t="s">
        <v>956</v>
      </c>
      <c r="L69" t="s">
        <v>601</v>
      </c>
      <c r="M69" t="s">
        <v>602</v>
      </c>
      <c r="N69" t="str">
        <f t="shared" si="38"/>
        <v>162_2</v>
      </c>
      <c r="O69">
        <v>100</v>
      </c>
      <c r="P69" s="13">
        <v>1</v>
      </c>
      <c r="Q69">
        <v>2</v>
      </c>
      <c r="R69" t="s">
        <v>965</v>
      </c>
      <c r="S69" t="s">
        <v>961</v>
      </c>
      <c r="T69" t="s">
        <v>959</v>
      </c>
      <c r="U69" s="13">
        <v>0.03</v>
      </c>
      <c r="V69" s="13">
        <f t="shared" si="39"/>
        <v>0.24000000000000002</v>
      </c>
      <c r="W69" s="13">
        <f t="shared" ref="W69:W86" si="56">+IFERROR(U69/V69,"N/A")</f>
        <v>0.12499999999999999</v>
      </c>
      <c r="X69" s="9">
        <v>43831</v>
      </c>
      <c r="Y69" s="9">
        <v>43982</v>
      </c>
      <c r="Z69" s="10">
        <v>0.19</v>
      </c>
      <c r="AA69" s="13">
        <f t="shared" si="40"/>
        <v>2.3749999999999997E-2</v>
      </c>
      <c r="AB69" s="13">
        <f t="shared" si="41"/>
        <v>2.3749999999999997E-2</v>
      </c>
      <c r="AC69" t="s">
        <v>960</v>
      </c>
      <c r="AD69" s="10">
        <v>0.19</v>
      </c>
      <c r="AE69" s="13">
        <f t="shared" si="42"/>
        <v>2.3749999999999997E-2</v>
      </c>
      <c r="AF69" s="13">
        <f t="shared" si="43"/>
        <v>0.14833333333333332</v>
      </c>
      <c r="AG69" t="s">
        <v>960</v>
      </c>
      <c r="AH69" s="10">
        <v>0.2</v>
      </c>
      <c r="AI69" s="13">
        <f t="shared" si="44"/>
        <v>2.4999999999999998E-2</v>
      </c>
      <c r="AJ69" s="13">
        <f t="shared" si="45"/>
        <v>0.37208333333333332</v>
      </c>
      <c r="AK69" t="s">
        <v>960</v>
      </c>
      <c r="AL69" s="10">
        <v>0.21</v>
      </c>
      <c r="AM69" s="13">
        <f t="shared" si="46"/>
        <v>2.6249999999999996E-2</v>
      </c>
      <c r="AN69" s="13">
        <f t="shared" si="47"/>
        <v>0.21249999999999999</v>
      </c>
      <c r="AO69" t="s">
        <v>960</v>
      </c>
      <c r="AP69" s="10">
        <v>0.21</v>
      </c>
      <c r="AQ69" s="13">
        <f t="shared" si="48"/>
        <v>2.6249999999999996E-2</v>
      </c>
      <c r="AR69" s="13">
        <f t="shared" si="49"/>
        <v>0.24333333333333332</v>
      </c>
      <c r="AS69" t="s">
        <v>960</v>
      </c>
      <c r="AT69" t="str">
        <f t="shared" si="50"/>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69" s="14">
        <f t="shared" si="51"/>
        <v>1</v>
      </c>
      <c r="AV69" s="13">
        <f t="shared" si="52"/>
        <v>0.12499999999999999</v>
      </c>
      <c r="AW69" s="13">
        <f t="shared" si="53"/>
        <v>0.99999999999999989</v>
      </c>
      <c r="AX69" t="s">
        <v>958</v>
      </c>
      <c r="AY69" t="s">
        <v>961</v>
      </c>
      <c r="AZ69" t="s">
        <v>962</v>
      </c>
      <c r="BA69" t="s">
        <v>963</v>
      </c>
      <c r="BB69" t="s">
        <v>964</v>
      </c>
      <c r="BD69" t="str">
        <f t="shared" si="54"/>
        <v>Desarrollar  productos culturales y artísticos creados para la ciudadanía en temas de memoria, paz y reconciliaciónDesarrollar actividades de desarrollo empresarial y formación para el trabajo, en las fases de alistamiento, implementación y seguimiento.Desarrollar productos educativos para la pedagogía social y la formación de ciudadanía en memoria, paz y reconciliaciónImplementación  de medidas del plan de retornos o reubicacionesPriorizar, implementar y monitorear las medidas de reparación con los sujetos colectivos de acuerdo con los compromisos adquiridos por el Distrito</v>
      </c>
      <c r="BE69" t="e">
        <f>+VLOOKUP($N69,P1081_3,MATCH(BE$3,PAAC!#REF!,0),0)</f>
        <v>#NAME?</v>
      </c>
      <c r="BF69" t="e">
        <f>+VLOOKUP($N69,P1081_3,MATCH(BF$3,PAAC!#REF!,0),0)</f>
        <v>#NAME?</v>
      </c>
      <c r="BG69" t="e">
        <f>+VLOOKUP($N69,P1081_3,MATCH(BG$3,PAAC!#REF!,0),0)</f>
        <v>#NAME?</v>
      </c>
      <c r="BH69" t="e">
        <f>+VLOOKUP($N69,P1081_3,MATCH(BH$3,PAAC!#REF!,0),0)</f>
        <v>#NAME?</v>
      </c>
      <c r="BI69" t="e">
        <f>+VLOOKUP($N69,P1081_3,MATCH(BI$3,PAAC!#REF!,0),0)</f>
        <v>#NAME?</v>
      </c>
      <c r="BJ69" t="str">
        <f t="shared" si="55"/>
        <v/>
      </c>
    </row>
    <row r="70" spans="1:62" x14ac:dyDescent="0.3">
      <c r="A70">
        <v>162</v>
      </c>
      <c r="B70">
        <v>1156</v>
      </c>
      <c r="C70" t="s">
        <v>149</v>
      </c>
      <c r="D70">
        <v>8</v>
      </c>
      <c r="E70" t="s">
        <v>951</v>
      </c>
      <c r="F70" t="s">
        <v>952</v>
      </c>
      <c r="G70" t="s">
        <v>953</v>
      </c>
      <c r="H70" t="s">
        <v>146</v>
      </c>
      <c r="I70" t="s">
        <v>954</v>
      </c>
      <c r="J70" t="s">
        <v>955</v>
      </c>
      <c r="K70" t="s">
        <v>956</v>
      </c>
      <c r="L70" t="s">
        <v>601</v>
      </c>
      <c r="M70" t="s">
        <v>602</v>
      </c>
      <c r="N70" t="str">
        <f t="shared" si="38"/>
        <v>162_3</v>
      </c>
      <c r="O70">
        <v>100</v>
      </c>
      <c r="P70" s="13">
        <v>1</v>
      </c>
      <c r="Q70">
        <v>3</v>
      </c>
      <c r="R70" t="s">
        <v>966</v>
      </c>
      <c r="S70" t="s">
        <v>962</v>
      </c>
      <c r="T70" t="s">
        <v>959</v>
      </c>
      <c r="U70" s="13">
        <v>0.03</v>
      </c>
      <c r="V70" s="13">
        <f t="shared" si="39"/>
        <v>0.24000000000000002</v>
      </c>
      <c r="W70" s="13">
        <f t="shared" si="56"/>
        <v>0.12499999999999999</v>
      </c>
      <c r="X70" s="9">
        <v>43831</v>
      </c>
      <c r="Y70" s="9">
        <v>43982</v>
      </c>
      <c r="Z70" s="10">
        <v>0</v>
      </c>
      <c r="AA70" s="13">
        <f t="shared" si="40"/>
        <v>0</v>
      </c>
      <c r="AB70" s="13">
        <f t="shared" si="41"/>
        <v>2.3749999999999997E-2</v>
      </c>
      <c r="AC70" t="s">
        <v>960</v>
      </c>
      <c r="AD70" s="10">
        <v>0.37</v>
      </c>
      <c r="AE70" s="13">
        <f t="shared" si="42"/>
        <v>4.6249999999999993E-2</v>
      </c>
      <c r="AF70" s="13">
        <f t="shared" si="43"/>
        <v>0.14833333333333332</v>
      </c>
      <c r="AG70" t="s">
        <v>960</v>
      </c>
      <c r="AH70" s="10">
        <v>0.25</v>
      </c>
      <c r="AI70" s="13">
        <f t="shared" si="44"/>
        <v>3.1249999999999997E-2</v>
      </c>
      <c r="AJ70" s="13">
        <f t="shared" si="45"/>
        <v>0.37208333333333332</v>
      </c>
      <c r="AK70" t="s">
        <v>960</v>
      </c>
      <c r="AL70" s="10">
        <v>0.13</v>
      </c>
      <c r="AM70" s="13">
        <f t="shared" si="46"/>
        <v>1.6249999999999997E-2</v>
      </c>
      <c r="AN70" s="13">
        <f t="shared" si="47"/>
        <v>0.21249999999999999</v>
      </c>
      <c r="AO70" t="s">
        <v>960</v>
      </c>
      <c r="AP70" s="10">
        <v>0.25</v>
      </c>
      <c r="AQ70" s="13">
        <f t="shared" si="48"/>
        <v>3.1249999999999997E-2</v>
      </c>
      <c r="AR70" s="13">
        <f t="shared" si="49"/>
        <v>0.24333333333333332</v>
      </c>
      <c r="AS70" t="s">
        <v>960</v>
      </c>
      <c r="AT70" t="str">
        <f t="shared" si="50"/>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70" s="14">
        <f t="shared" si="51"/>
        <v>1</v>
      </c>
      <c r="AV70" s="13">
        <f t="shared" si="52"/>
        <v>0.12499999999999999</v>
      </c>
      <c r="AW70" s="13">
        <f t="shared" si="53"/>
        <v>0.99999999999999989</v>
      </c>
      <c r="AX70" t="s">
        <v>958</v>
      </c>
      <c r="AY70" t="s">
        <v>961</v>
      </c>
      <c r="AZ70" t="s">
        <v>962</v>
      </c>
      <c r="BA70" t="s">
        <v>963</v>
      </c>
      <c r="BB70" t="s">
        <v>964</v>
      </c>
      <c r="BD70" t="str">
        <f t="shared" si="54"/>
        <v>Desarrollar  productos culturales y artísticos creados para la ciudadanía en temas de memoria, paz y reconciliaciónDesarrollar actividades de desarrollo empresarial y formación para el trabajo, en las fases de alistamiento, implementación y seguimiento.Desarrollar productos educativos para la pedagogía social y la formación de ciudadanía en memoria, paz y reconciliaciónImplementación  de medidas del plan de retornos o reubicacionesPriorizar, implementar y monitorear las medidas de reparación con los sujetos colectivos de acuerdo con los compromisos adquiridos por el Distrito</v>
      </c>
      <c r="BE70" t="e">
        <f>+VLOOKUP($N70,P1081_3,MATCH(BE$3,PAAC!#REF!,0),0)</f>
        <v>#NAME?</v>
      </c>
      <c r="BF70" t="e">
        <f>+VLOOKUP($N70,P1081_3,MATCH(BF$3,PAAC!#REF!,0),0)</f>
        <v>#NAME?</v>
      </c>
      <c r="BG70" t="e">
        <f>+VLOOKUP($N70,P1081_3,MATCH(BG$3,PAAC!#REF!,0),0)</f>
        <v>#NAME?</v>
      </c>
      <c r="BH70" t="e">
        <f>+VLOOKUP($N70,P1081_3,MATCH(BH$3,PAAC!#REF!,0),0)</f>
        <v>#NAME?</v>
      </c>
      <c r="BI70" t="e">
        <f>+VLOOKUP($N70,P1081_3,MATCH(BI$3,PAAC!#REF!,0),0)</f>
        <v>#NAME?</v>
      </c>
      <c r="BJ70" t="str">
        <f t="shared" si="55"/>
        <v/>
      </c>
    </row>
    <row r="71" spans="1:62" x14ac:dyDescent="0.3">
      <c r="A71">
        <v>162</v>
      </c>
      <c r="B71">
        <v>1156</v>
      </c>
      <c r="C71" t="s">
        <v>149</v>
      </c>
      <c r="D71">
        <v>8</v>
      </c>
      <c r="E71" t="s">
        <v>951</v>
      </c>
      <c r="F71" t="s">
        <v>952</v>
      </c>
      <c r="G71" t="s">
        <v>953</v>
      </c>
      <c r="H71" t="s">
        <v>146</v>
      </c>
      <c r="I71" t="s">
        <v>954</v>
      </c>
      <c r="J71" t="s">
        <v>955</v>
      </c>
      <c r="K71" t="s">
        <v>956</v>
      </c>
      <c r="L71" t="s">
        <v>601</v>
      </c>
      <c r="M71" t="s">
        <v>602</v>
      </c>
      <c r="N71" t="str">
        <f t="shared" si="38"/>
        <v>162_4</v>
      </c>
      <c r="O71">
        <v>100</v>
      </c>
      <c r="P71" s="13">
        <v>1</v>
      </c>
      <c r="Q71">
        <v>4</v>
      </c>
      <c r="R71" t="s">
        <v>967</v>
      </c>
      <c r="S71" t="s">
        <v>963</v>
      </c>
      <c r="T71" t="s">
        <v>959</v>
      </c>
      <c r="U71" s="13">
        <v>0.08</v>
      </c>
      <c r="V71" s="13">
        <f t="shared" si="39"/>
        <v>0.24000000000000002</v>
      </c>
      <c r="W71" s="13">
        <f t="shared" si="56"/>
        <v>0.33333333333333331</v>
      </c>
      <c r="X71" s="9">
        <v>43831</v>
      </c>
      <c r="Y71" s="9">
        <v>43982</v>
      </c>
      <c r="Z71" s="10">
        <v>0</v>
      </c>
      <c r="AA71" s="13">
        <f t="shared" si="40"/>
        <v>0</v>
      </c>
      <c r="AB71" s="13">
        <f t="shared" si="41"/>
        <v>2.3749999999999997E-2</v>
      </c>
      <c r="AC71" t="s">
        <v>960</v>
      </c>
      <c r="AD71" s="10">
        <v>0.1</v>
      </c>
      <c r="AE71" s="13">
        <f t="shared" si="42"/>
        <v>3.3333333333333333E-2</v>
      </c>
      <c r="AF71" s="13">
        <f t="shared" si="43"/>
        <v>0.14833333333333332</v>
      </c>
      <c r="AG71" t="s">
        <v>960</v>
      </c>
      <c r="AH71" s="10">
        <v>0.42</v>
      </c>
      <c r="AI71" s="13">
        <f t="shared" si="44"/>
        <v>0.13999999999999999</v>
      </c>
      <c r="AJ71" s="13">
        <f t="shared" si="45"/>
        <v>0.37208333333333332</v>
      </c>
      <c r="AK71" t="s">
        <v>960</v>
      </c>
      <c r="AL71" s="10">
        <v>0.27</v>
      </c>
      <c r="AM71" s="13">
        <f t="shared" si="46"/>
        <v>0.09</v>
      </c>
      <c r="AN71" s="13">
        <f t="shared" si="47"/>
        <v>0.21249999999999999</v>
      </c>
      <c r="AO71" t="s">
        <v>960</v>
      </c>
      <c r="AP71" s="10">
        <v>0.21</v>
      </c>
      <c r="AQ71" s="13">
        <f t="shared" si="48"/>
        <v>6.9999999999999993E-2</v>
      </c>
      <c r="AR71" s="13">
        <f t="shared" si="49"/>
        <v>0.24333333333333332</v>
      </c>
      <c r="AS71" t="s">
        <v>960</v>
      </c>
      <c r="AT71" t="str">
        <f t="shared" si="50"/>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71" s="14">
        <f t="shared" si="51"/>
        <v>1</v>
      </c>
      <c r="AV71" s="13">
        <f t="shared" si="52"/>
        <v>0.33333333333333331</v>
      </c>
      <c r="AW71" s="13">
        <f t="shared" si="53"/>
        <v>0.99999999999999989</v>
      </c>
      <c r="AX71" t="s">
        <v>958</v>
      </c>
      <c r="AY71" t="s">
        <v>961</v>
      </c>
      <c r="AZ71" t="s">
        <v>962</v>
      </c>
      <c r="BA71" t="s">
        <v>963</v>
      </c>
      <c r="BB71" t="s">
        <v>964</v>
      </c>
      <c r="BD71" t="str">
        <f t="shared" si="54"/>
        <v>Desarrollar  productos culturales y artísticos creados para la ciudadanía en temas de memoria, paz y reconciliaciónDesarrollar actividades de desarrollo empresarial y formación para el trabajo, en las fases de alistamiento, implementación y seguimiento.Desarrollar productos educativos para la pedagogía social y la formación de ciudadanía en memoria, paz y reconciliaciónImplementación  de medidas del plan de retornos o reubicacionesPriorizar, implementar y monitorear las medidas de reparación con los sujetos colectivos de acuerdo con los compromisos adquiridos por el Distrito</v>
      </c>
      <c r="BE71" t="e">
        <f>+VLOOKUP($N71,P1081_3,MATCH(BE$3,PAAC!#REF!,0),0)</f>
        <v>#NAME?</v>
      </c>
      <c r="BF71" t="e">
        <f>+VLOOKUP($N71,P1081_3,MATCH(BF$3,PAAC!#REF!,0),0)</f>
        <v>#NAME?</v>
      </c>
      <c r="BG71" t="e">
        <f>+VLOOKUP($N71,P1081_3,MATCH(BG$3,PAAC!#REF!,0),0)</f>
        <v>#NAME?</v>
      </c>
      <c r="BH71" t="e">
        <f>+VLOOKUP($N71,P1081_3,MATCH(BH$3,PAAC!#REF!,0),0)</f>
        <v>#NAME?</v>
      </c>
      <c r="BI71" t="e">
        <f>+VLOOKUP($N71,P1081_3,MATCH(BI$3,PAAC!#REF!,0),0)</f>
        <v>#NAME?</v>
      </c>
      <c r="BJ71" t="str">
        <f t="shared" si="55"/>
        <v/>
      </c>
    </row>
    <row r="72" spans="1:62" x14ac:dyDescent="0.3">
      <c r="A72">
        <v>162</v>
      </c>
      <c r="B72">
        <v>1156</v>
      </c>
      <c r="C72" t="s">
        <v>149</v>
      </c>
      <c r="D72">
        <v>8</v>
      </c>
      <c r="E72" t="s">
        <v>951</v>
      </c>
      <c r="F72" t="s">
        <v>952</v>
      </c>
      <c r="G72" t="s">
        <v>953</v>
      </c>
      <c r="H72" t="s">
        <v>146</v>
      </c>
      <c r="I72" t="s">
        <v>954</v>
      </c>
      <c r="J72" t="s">
        <v>955</v>
      </c>
      <c r="K72" t="s">
        <v>956</v>
      </c>
      <c r="L72" t="s">
        <v>601</v>
      </c>
      <c r="M72" t="s">
        <v>602</v>
      </c>
      <c r="N72" t="str">
        <f t="shared" si="38"/>
        <v>162_5</v>
      </c>
      <c r="O72">
        <v>100</v>
      </c>
      <c r="P72" s="13">
        <v>1</v>
      </c>
      <c r="Q72">
        <v>5</v>
      </c>
      <c r="R72" t="s">
        <v>968</v>
      </c>
      <c r="S72" t="s">
        <v>964</v>
      </c>
      <c r="T72" t="s">
        <v>959</v>
      </c>
      <c r="U72" s="13">
        <v>0.04</v>
      </c>
      <c r="V72" s="13">
        <f t="shared" si="39"/>
        <v>0.24000000000000002</v>
      </c>
      <c r="W72" s="13">
        <f t="shared" si="56"/>
        <v>0.16666666666666666</v>
      </c>
      <c r="X72" s="9">
        <v>43831</v>
      </c>
      <c r="Y72" s="9">
        <v>43982</v>
      </c>
      <c r="Z72" s="10">
        <v>0</v>
      </c>
      <c r="AA72" s="13">
        <f t="shared" si="40"/>
        <v>0</v>
      </c>
      <c r="AB72" s="13">
        <f t="shared" si="41"/>
        <v>2.3749999999999997E-2</v>
      </c>
      <c r="AC72" t="s">
        <v>960</v>
      </c>
      <c r="AD72" s="10">
        <v>0</v>
      </c>
      <c r="AE72" s="13">
        <f t="shared" si="42"/>
        <v>0</v>
      </c>
      <c r="AF72" s="13">
        <f t="shared" si="43"/>
        <v>0.14833333333333332</v>
      </c>
      <c r="AG72" t="s">
        <v>960</v>
      </c>
      <c r="AH72" s="10">
        <v>0.44</v>
      </c>
      <c r="AI72" s="13">
        <f t="shared" si="44"/>
        <v>7.3333333333333334E-2</v>
      </c>
      <c r="AJ72" s="13">
        <f t="shared" si="45"/>
        <v>0.37208333333333332</v>
      </c>
      <c r="AK72" t="s">
        <v>960</v>
      </c>
      <c r="AL72" s="10">
        <v>0.12</v>
      </c>
      <c r="AM72" s="13">
        <f t="shared" si="46"/>
        <v>1.9999999999999997E-2</v>
      </c>
      <c r="AN72" s="13">
        <f t="shared" si="47"/>
        <v>0.21249999999999999</v>
      </c>
      <c r="AO72" t="s">
        <v>960</v>
      </c>
      <c r="AP72" s="10">
        <v>0.44</v>
      </c>
      <c r="AQ72" s="13">
        <f t="shared" si="48"/>
        <v>7.3333333333333334E-2</v>
      </c>
      <c r="AR72" s="13">
        <f t="shared" si="49"/>
        <v>0.24333333333333332</v>
      </c>
      <c r="AS72" t="s">
        <v>960</v>
      </c>
      <c r="AT72" t="str">
        <f t="shared" si="50"/>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72" s="14">
        <f t="shared" si="51"/>
        <v>1</v>
      </c>
      <c r="AV72" s="13">
        <f t="shared" si="52"/>
        <v>0.16666666666666666</v>
      </c>
      <c r="AW72" s="13">
        <f t="shared" si="53"/>
        <v>0.99999999999999989</v>
      </c>
      <c r="AX72" t="s">
        <v>958</v>
      </c>
      <c r="AY72" t="s">
        <v>961</v>
      </c>
      <c r="AZ72" t="s">
        <v>962</v>
      </c>
      <c r="BA72" t="s">
        <v>963</v>
      </c>
      <c r="BB72" t="s">
        <v>964</v>
      </c>
      <c r="BD72" t="str">
        <f t="shared" si="54"/>
        <v>Desarrollar  productos culturales y artísticos creados para la ciudadanía en temas de memoria, paz y reconciliaciónDesarrollar actividades de desarrollo empresarial y formación para el trabajo, en las fases de alistamiento, implementación y seguimiento.Desarrollar productos educativos para la pedagogía social y la formación de ciudadanía en memoria, paz y reconciliaciónImplementación  de medidas del plan de retornos o reubicacionesPriorizar, implementar y monitorear las medidas de reparación con los sujetos colectivos de acuerdo con los compromisos adquiridos por el Distrito</v>
      </c>
      <c r="BE72" t="e">
        <f>+VLOOKUP($N72,P1081_3,MATCH(BE$3,PAAC!#REF!,0),0)</f>
        <v>#NAME?</v>
      </c>
      <c r="BF72" t="e">
        <f>+VLOOKUP($N72,P1081_3,MATCH(BF$3,PAAC!#REF!,0),0)</f>
        <v>#NAME?</v>
      </c>
      <c r="BG72" t="e">
        <f>+VLOOKUP($N72,P1081_3,MATCH(BG$3,PAAC!#REF!,0),0)</f>
        <v>#NAME?</v>
      </c>
      <c r="BH72" t="e">
        <f>+VLOOKUP($N72,P1081_3,MATCH(BH$3,PAAC!#REF!,0),0)</f>
        <v>#NAME?</v>
      </c>
      <c r="BI72" t="e">
        <f>+VLOOKUP($N72,P1081_3,MATCH(BI$3,PAAC!#REF!,0),0)</f>
        <v>#NAME?</v>
      </c>
      <c r="BJ72" t="str">
        <f t="shared" si="55"/>
        <v/>
      </c>
    </row>
    <row r="73" spans="1:62" x14ac:dyDescent="0.3">
      <c r="A73">
        <v>164</v>
      </c>
      <c r="B73">
        <v>1156</v>
      </c>
      <c r="C73" t="s">
        <v>149</v>
      </c>
      <c r="D73">
        <v>7</v>
      </c>
      <c r="E73" t="s">
        <v>969</v>
      </c>
      <c r="F73" t="s">
        <v>952</v>
      </c>
      <c r="G73" t="s">
        <v>953</v>
      </c>
      <c r="H73" t="s">
        <v>146</v>
      </c>
      <c r="I73" t="s">
        <v>970</v>
      </c>
      <c r="J73" t="s">
        <v>971</v>
      </c>
      <c r="K73" t="s">
        <v>972</v>
      </c>
      <c r="L73" t="s">
        <v>661</v>
      </c>
      <c r="M73" t="s">
        <v>602</v>
      </c>
      <c r="N73" t="str">
        <f t="shared" si="38"/>
        <v>164_1</v>
      </c>
      <c r="O73">
        <v>100</v>
      </c>
      <c r="P73" s="13">
        <v>1</v>
      </c>
      <c r="Q73">
        <v>1</v>
      </c>
      <c r="R73" t="s">
        <v>973</v>
      </c>
      <c r="S73" t="s">
        <v>974</v>
      </c>
      <c r="T73" t="s">
        <v>959</v>
      </c>
      <c r="U73" s="13">
        <v>7.0000000000000007E-2</v>
      </c>
      <c r="V73" s="13">
        <f t="shared" si="39"/>
        <v>0.13</v>
      </c>
      <c r="W73" s="13">
        <f t="shared" si="56"/>
        <v>0.53846153846153855</v>
      </c>
      <c r="X73" s="9">
        <v>43831</v>
      </c>
      <c r="Y73" s="9">
        <v>43982</v>
      </c>
      <c r="Z73" s="10">
        <v>0.13</v>
      </c>
      <c r="AA73" s="13">
        <f t="shared" si="40"/>
        <v>7.0000000000000007E-2</v>
      </c>
      <c r="AB73" s="13">
        <f t="shared" si="41"/>
        <v>0.16230769230769232</v>
      </c>
      <c r="AC73" t="s">
        <v>960</v>
      </c>
      <c r="AD73" s="10">
        <v>0.22</v>
      </c>
      <c r="AE73" s="13">
        <f t="shared" si="42"/>
        <v>0.11846153846153848</v>
      </c>
      <c r="AF73" s="13">
        <f t="shared" si="43"/>
        <v>0.21076923076923079</v>
      </c>
      <c r="AG73" t="s">
        <v>960</v>
      </c>
      <c r="AH73" s="10">
        <v>0.22</v>
      </c>
      <c r="AI73" s="13">
        <f t="shared" si="44"/>
        <v>0.11846153846153848</v>
      </c>
      <c r="AJ73" s="13">
        <f t="shared" si="45"/>
        <v>0.21076923076923079</v>
      </c>
      <c r="AK73" t="s">
        <v>960</v>
      </c>
      <c r="AL73" s="10">
        <v>0.22</v>
      </c>
      <c r="AM73" s="13">
        <f t="shared" si="46"/>
        <v>0.11846153846153848</v>
      </c>
      <c r="AN73" s="13">
        <f t="shared" si="47"/>
        <v>0.21076923076923079</v>
      </c>
      <c r="AO73" t="s">
        <v>960</v>
      </c>
      <c r="AP73" s="10">
        <v>0.21</v>
      </c>
      <c r="AQ73" s="13">
        <f t="shared" si="48"/>
        <v>0.11307692307692309</v>
      </c>
      <c r="AR73" s="13">
        <f t="shared" si="49"/>
        <v>0.20538461538461539</v>
      </c>
      <c r="AS73" t="s">
        <v>960</v>
      </c>
      <c r="AT73" t="str">
        <f t="shared" si="50"/>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73" s="14">
        <f t="shared" si="51"/>
        <v>0.99999999999999989</v>
      </c>
      <c r="AV73" s="13">
        <f t="shared" si="52"/>
        <v>0.53846153846153844</v>
      </c>
      <c r="AW73" s="13">
        <f t="shared" si="53"/>
        <v>1</v>
      </c>
      <c r="AX73" t="s">
        <v>974</v>
      </c>
      <c r="AY73" t="s">
        <v>975</v>
      </c>
      <c r="BD73" t="str">
        <f t="shared" si="54"/>
        <v>Apoyar técnica y operativamente a las mesas de participación efectiva de las víctimas del conflicto armado del distrito capital de acuerdo con el protocolo de participaciónImplementar y evaluar procesos de formación y fortalecimiento de las mesas de participación efectiva de las víctimas del conflicto armado</v>
      </c>
      <c r="BE73" t="e">
        <f>+VLOOKUP($N73,P1081_3,MATCH(BE$3,PAAC!#REF!,0),0)</f>
        <v>#NAME?</v>
      </c>
      <c r="BF73" t="e">
        <f>+VLOOKUP($N73,P1081_3,MATCH(BF$3,PAAC!#REF!,0),0)</f>
        <v>#NAME?</v>
      </c>
      <c r="BG73" t="e">
        <f>+VLOOKUP($N73,P1081_3,MATCH(BG$3,PAAC!#REF!,0),0)</f>
        <v>#NAME?</v>
      </c>
      <c r="BH73" t="e">
        <f>+VLOOKUP($N73,P1081_3,MATCH(BH$3,PAAC!#REF!,0),0)</f>
        <v>#NAME?</v>
      </c>
      <c r="BI73" t="e">
        <f>+VLOOKUP($N73,P1081_3,MATCH(BI$3,PAAC!#REF!,0),0)</f>
        <v>#NAME?</v>
      </c>
      <c r="BJ73" t="str">
        <f t="shared" si="55"/>
        <v/>
      </c>
    </row>
    <row r="74" spans="1:62" x14ac:dyDescent="0.3">
      <c r="A74">
        <v>164</v>
      </c>
      <c r="B74">
        <v>1156</v>
      </c>
      <c r="C74" t="s">
        <v>149</v>
      </c>
      <c r="D74">
        <v>7</v>
      </c>
      <c r="E74" t="s">
        <v>969</v>
      </c>
      <c r="F74" t="s">
        <v>952</v>
      </c>
      <c r="G74" t="s">
        <v>953</v>
      </c>
      <c r="H74" t="s">
        <v>146</v>
      </c>
      <c r="I74" t="s">
        <v>970</v>
      </c>
      <c r="J74" t="s">
        <v>971</v>
      </c>
      <c r="K74" t="s">
        <v>972</v>
      </c>
      <c r="L74" t="s">
        <v>661</v>
      </c>
      <c r="M74" t="s">
        <v>602</v>
      </c>
      <c r="N74" t="str">
        <f t="shared" si="38"/>
        <v>164_2</v>
      </c>
      <c r="O74">
        <v>100</v>
      </c>
      <c r="P74" s="13">
        <v>1</v>
      </c>
      <c r="Q74">
        <v>2</v>
      </c>
      <c r="R74" t="s">
        <v>976</v>
      </c>
      <c r="S74" t="s">
        <v>975</v>
      </c>
      <c r="T74" t="s">
        <v>959</v>
      </c>
      <c r="U74" s="13">
        <v>0.06</v>
      </c>
      <c r="V74" s="13">
        <f t="shared" si="39"/>
        <v>0.13</v>
      </c>
      <c r="W74" s="13">
        <f t="shared" si="56"/>
        <v>0.46153846153846151</v>
      </c>
      <c r="X74" s="9">
        <v>43831</v>
      </c>
      <c r="Y74" s="9">
        <v>43982</v>
      </c>
      <c r="Z74" s="10">
        <v>0.2</v>
      </c>
      <c r="AA74" s="13">
        <f t="shared" si="40"/>
        <v>9.2307692307692313E-2</v>
      </c>
      <c r="AB74" s="13">
        <f t="shared" si="41"/>
        <v>0.16230769230769232</v>
      </c>
      <c r="AC74" t="s">
        <v>960</v>
      </c>
      <c r="AD74" s="10">
        <v>0.2</v>
      </c>
      <c r="AE74" s="13">
        <f t="shared" si="42"/>
        <v>9.2307692307692313E-2</v>
      </c>
      <c r="AF74" s="13">
        <f t="shared" si="43"/>
        <v>0.21076923076923079</v>
      </c>
      <c r="AG74" t="s">
        <v>960</v>
      </c>
      <c r="AH74" s="10">
        <v>0.2</v>
      </c>
      <c r="AI74" s="13">
        <f t="shared" si="44"/>
        <v>9.2307692307692313E-2</v>
      </c>
      <c r="AJ74" s="13">
        <f t="shared" si="45"/>
        <v>0.21076923076923079</v>
      </c>
      <c r="AK74" t="s">
        <v>960</v>
      </c>
      <c r="AL74" s="10">
        <v>0.2</v>
      </c>
      <c r="AM74" s="13">
        <f t="shared" si="46"/>
        <v>9.2307692307692313E-2</v>
      </c>
      <c r="AN74" s="13">
        <f t="shared" si="47"/>
        <v>0.21076923076923079</v>
      </c>
      <c r="AO74" t="s">
        <v>960</v>
      </c>
      <c r="AP74" s="10">
        <v>0.2</v>
      </c>
      <c r="AQ74" s="13">
        <f t="shared" si="48"/>
        <v>9.2307692307692313E-2</v>
      </c>
      <c r="AR74" s="13">
        <f t="shared" si="49"/>
        <v>0.20538461538461539</v>
      </c>
      <c r="AS74" t="s">
        <v>960</v>
      </c>
      <c r="AT74" t="str">
        <f t="shared" si="50"/>
        <v>ENERO: -Actas de reunión
-Correos electronicos
-Fotografías FEBRERO: -Actas de reunión
-Correos electronicos
-Fotografías MARZO: -Actas de reunión
-Correos electronicos
-Fotografías ABRIL: -Actas de reunión
-Correos electronicos
-Fotografías MAYO: -Actas de reunión
-Correos electronicos
-Fotografías</v>
      </c>
      <c r="AU74" s="14">
        <f t="shared" si="51"/>
        <v>1</v>
      </c>
      <c r="AV74" s="13">
        <f t="shared" si="52"/>
        <v>0.46153846153846151</v>
      </c>
      <c r="AW74" s="13">
        <f t="shared" si="53"/>
        <v>1</v>
      </c>
      <c r="AX74" t="s">
        <v>974</v>
      </c>
      <c r="AY74" t="s">
        <v>975</v>
      </c>
      <c r="BD74" t="str">
        <f t="shared" si="54"/>
        <v>Apoyar técnica y operativamente a las mesas de participación efectiva de las víctimas del conflicto armado del distrito capital de acuerdo con el protocolo de participaciónImplementar y evaluar procesos de formación y fortalecimiento de las mesas de participación efectiva de las víctimas del conflicto armado</v>
      </c>
      <c r="BE74" t="e">
        <f>+VLOOKUP($N74,P1081_3,MATCH(BE$3,PAAC!#REF!,0),0)</f>
        <v>#NAME?</v>
      </c>
      <c r="BF74" t="e">
        <f>+VLOOKUP($N74,P1081_3,MATCH(BF$3,PAAC!#REF!,0),0)</f>
        <v>#NAME?</v>
      </c>
      <c r="BG74" t="e">
        <f>+VLOOKUP($N74,P1081_3,MATCH(BG$3,PAAC!#REF!,0),0)</f>
        <v>#NAME?</v>
      </c>
      <c r="BH74" t="e">
        <f>+VLOOKUP($N74,P1081_3,MATCH(BH$3,PAAC!#REF!,0),0)</f>
        <v>#NAME?</v>
      </c>
      <c r="BI74" t="e">
        <f>+VLOOKUP($N74,P1081_3,MATCH(BI$3,PAAC!#REF!,0),0)</f>
        <v>#NAME?</v>
      </c>
      <c r="BJ74" t="str">
        <f t="shared" si="55"/>
        <v/>
      </c>
    </row>
    <row r="75" spans="1:62" x14ac:dyDescent="0.3">
      <c r="A75">
        <v>165</v>
      </c>
      <c r="B75">
        <v>1156</v>
      </c>
      <c r="C75" t="s">
        <v>149</v>
      </c>
      <c r="D75">
        <v>9</v>
      </c>
      <c r="E75" t="s">
        <v>977</v>
      </c>
      <c r="F75" t="s">
        <v>952</v>
      </c>
      <c r="G75" t="s">
        <v>953</v>
      </c>
      <c r="H75" t="s">
        <v>146</v>
      </c>
      <c r="I75" t="s">
        <v>978</v>
      </c>
      <c r="J75" t="s">
        <v>979</v>
      </c>
      <c r="K75" t="s">
        <v>980</v>
      </c>
      <c r="L75" t="s">
        <v>601</v>
      </c>
      <c r="M75" t="s">
        <v>639</v>
      </c>
      <c r="N75" t="str">
        <f t="shared" si="38"/>
        <v>165_1</v>
      </c>
      <c r="O75">
        <v>3</v>
      </c>
      <c r="P75" s="13">
        <v>1</v>
      </c>
      <c r="Q75">
        <v>1</v>
      </c>
      <c r="R75" t="s">
        <v>981</v>
      </c>
      <c r="S75" t="s">
        <v>982</v>
      </c>
      <c r="T75" t="s">
        <v>959</v>
      </c>
      <c r="U75" s="13">
        <v>0.03</v>
      </c>
      <c r="V75" s="13">
        <f t="shared" si="39"/>
        <v>0.28000000000000003</v>
      </c>
      <c r="W75" s="13">
        <f t="shared" si="56"/>
        <v>0.10714285714285712</v>
      </c>
      <c r="X75" s="9">
        <v>43831</v>
      </c>
      <c r="Y75" s="9">
        <v>43982</v>
      </c>
      <c r="Z75" s="10">
        <v>0.5</v>
      </c>
      <c r="AA75" s="13">
        <f t="shared" si="40"/>
        <v>5.3571428571428562E-2</v>
      </c>
      <c r="AB75" s="13">
        <f t="shared" si="41"/>
        <v>0.13928571428571426</v>
      </c>
      <c r="AC75" t="s">
        <v>983</v>
      </c>
      <c r="AD75" s="10">
        <v>0</v>
      </c>
      <c r="AE75" s="13">
        <f t="shared" si="42"/>
        <v>0</v>
      </c>
      <c r="AF75" s="13">
        <f t="shared" si="43"/>
        <v>0.10357142857142855</v>
      </c>
      <c r="AG75" t="s">
        <v>983</v>
      </c>
      <c r="AH75" s="10">
        <v>0</v>
      </c>
      <c r="AI75" s="13">
        <f t="shared" si="44"/>
        <v>0</v>
      </c>
      <c r="AJ75" s="13">
        <f t="shared" si="45"/>
        <v>0.46071428571428569</v>
      </c>
      <c r="AK75" t="s">
        <v>983</v>
      </c>
      <c r="AL75" s="10">
        <v>0.5</v>
      </c>
      <c r="AM75" s="13">
        <f t="shared" si="46"/>
        <v>5.3571428571428562E-2</v>
      </c>
      <c r="AN75" s="13">
        <f t="shared" si="47"/>
        <v>0.19285714285714284</v>
      </c>
      <c r="AO75" t="s">
        <v>983</v>
      </c>
      <c r="AP75" s="10">
        <v>0</v>
      </c>
      <c r="AQ75" s="13">
        <f t="shared" si="48"/>
        <v>0</v>
      </c>
      <c r="AR75" s="13">
        <f t="shared" si="49"/>
        <v>0.10357142857142855</v>
      </c>
      <c r="AS75" t="s">
        <v>983</v>
      </c>
      <c r="AT75"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75" s="14">
        <f t="shared" si="51"/>
        <v>1</v>
      </c>
      <c r="AV75" s="13">
        <f t="shared" si="52"/>
        <v>0.10714285714285712</v>
      </c>
      <c r="AW75" s="13">
        <f t="shared" si="53"/>
        <v>0.99999999999999989</v>
      </c>
      <c r="AX75" t="s">
        <v>982</v>
      </c>
      <c r="AY75" t="s">
        <v>984</v>
      </c>
      <c r="AZ75" t="s">
        <v>985</v>
      </c>
      <c r="BA75" t="s">
        <v>986</v>
      </c>
      <c r="BB75" t="s">
        <v>987</v>
      </c>
      <c r="BC75" t="s">
        <v>988</v>
      </c>
      <c r="BD75"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75" t="e">
        <f>+VLOOKUP($N75,P1081_3,MATCH(BE$3,PAAC!#REF!,0),0)</f>
        <v>#NAME?</v>
      </c>
      <c r="BF75" t="e">
        <f>+VLOOKUP($N75,P1081_3,MATCH(BF$3,PAAC!#REF!,0),0)</f>
        <v>#NAME?</v>
      </c>
      <c r="BG75" t="e">
        <f>+VLOOKUP($N75,P1081_3,MATCH(BG$3,PAAC!#REF!,0),0)</f>
        <v>#NAME?</v>
      </c>
      <c r="BH75" t="e">
        <f>+VLOOKUP($N75,P1081_3,MATCH(BH$3,PAAC!#REF!,0),0)</f>
        <v>#NAME?</v>
      </c>
      <c r="BI75" t="e">
        <f>+VLOOKUP($N75,P1081_3,MATCH(BI$3,PAAC!#REF!,0),0)</f>
        <v>#NAME?</v>
      </c>
      <c r="BJ75" t="str">
        <f t="shared" si="55"/>
        <v/>
      </c>
    </row>
    <row r="76" spans="1:62" x14ac:dyDescent="0.3">
      <c r="A76">
        <v>165</v>
      </c>
      <c r="B76">
        <v>1156</v>
      </c>
      <c r="C76" t="s">
        <v>149</v>
      </c>
      <c r="D76">
        <v>9</v>
      </c>
      <c r="E76" t="s">
        <v>977</v>
      </c>
      <c r="F76" t="s">
        <v>952</v>
      </c>
      <c r="G76" t="s">
        <v>953</v>
      </c>
      <c r="H76" t="s">
        <v>146</v>
      </c>
      <c r="I76" t="s">
        <v>978</v>
      </c>
      <c r="J76" t="s">
        <v>979</v>
      </c>
      <c r="K76" t="s">
        <v>980</v>
      </c>
      <c r="L76" t="s">
        <v>601</v>
      </c>
      <c r="M76" t="s">
        <v>639</v>
      </c>
      <c r="N76" t="str">
        <f t="shared" si="38"/>
        <v>165_2</v>
      </c>
      <c r="O76">
        <v>3</v>
      </c>
      <c r="P76" s="13">
        <v>1</v>
      </c>
      <c r="Q76">
        <v>2</v>
      </c>
      <c r="R76" t="s">
        <v>989</v>
      </c>
      <c r="S76" t="s">
        <v>984</v>
      </c>
      <c r="T76" t="s">
        <v>959</v>
      </c>
      <c r="U76" s="13">
        <v>0.04</v>
      </c>
      <c r="V76" s="13">
        <f t="shared" si="39"/>
        <v>0.28000000000000003</v>
      </c>
      <c r="W76" s="13">
        <f t="shared" si="56"/>
        <v>0.14285714285714285</v>
      </c>
      <c r="X76" s="9">
        <v>43831</v>
      </c>
      <c r="Y76" s="9">
        <v>43982</v>
      </c>
      <c r="Z76" s="10">
        <v>0.2</v>
      </c>
      <c r="AA76" s="13">
        <f t="shared" si="40"/>
        <v>2.8571428571428571E-2</v>
      </c>
      <c r="AB76" s="13">
        <f t="shared" si="41"/>
        <v>0.13928571428571426</v>
      </c>
      <c r="AC76" t="s">
        <v>983</v>
      </c>
      <c r="AD76" s="10">
        <v>0.2</v>
      </c>
      <c r="AE76" s="13">
        <f t="shared" si="42"/>
        <v>2.8571428571428571E-2</v>
      </c>
      <c r="AF76" s="13">
        <f t="shared" si="43"/>
        <v>0.10357142857142855</v>
      </c>
      <c r="AG76" t="s">
        <v>983</v>
      </c>
      <c r="AH76" s="10">
        <v>0.2</v>
      </c>
      <c r="AI76" s="13">
        <f t="shared" si="44"/>
        <v>2.8571428571428571E-2</v>
      </c>
      <c r="AJ76" s="13">
        <f t="shared" si="45"/>
        <v>0.46071428571428569</v>
      </c>
      <c r="AK76" t="s">
        <v>983</v>
      </c>
      <c r="AL76" s="10">
        <v>0.2</v>
      </c>
      <c r="AM76" s="13">
        <f t="shared" si="46"/>
        <v>2.8571428571428571E-2</v>
      </c>
      <c r="AN76" s="13">
        <f t="shared" si="47"/>
        <v>0.19285714285714284</v>
      </c>
      <c r="AO76" t="s">
        <v>983</v>
      </c>
      <c r="AP76" s="10">
        <v>0.2</v>
      </c>
      <c r="AQ76" s="13">
        <f t="shared" si="48"/>
        <v>2.8571428571428571E-2</v>
      </c>
      <c r="AR76" s="13">
        <f t="shared" si="49"/>
        <v>0.10357142857142855</v>
      </c>
      <c r="AS76" t="s">
        <v>983</v>
      </c>
      <c r="AT76"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76" s="14">
        <f t="shared" si="51"/>
        <v>1</v>
      </c>
      <c r="AV76" s="13">
        <f t="shared" si="52"/>
        <v>0.14285714285714285</v>
      </c>
      <c r="AW76" s="13">
        <f t="shared" si="53"/>
        <v>0.99999999999999989</v>
      </c>
      <c r="AX76" t="s">
        <v>982</v>
      </c>
      <c r="AY76" t="s">
        <v>984</v>
      </c>
      <c r="AZ76" t="s">
        <v>985</v>
      </c>
      <c r="BA76" t="s">
        <v>986</v>
      </c>
      <c r="BB76" t="s">
        <v>987</v>
      </c>
      <c r="BC76" t="s">
        <v>988</v>
      </c>
      <c r="BD76"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76" t="e">
        <f>+VLOOKUP($N76,P1081_3,MATCH(BE$3,PAAC!#REF!,0),0)</f>
        <v>#NAME?</v>
      </c>
      <c r="BF76" t="e">
        <f>+VLOOKUP($N76,P1081_3,MATCH(BF$3,PAAC!#REF!,0),0)</f>
        <v>#NAME?</v>
      </c>
      <c r="BG76" t="e">
        <f>+VLOOKUP($N76,P1081_3,MATCH(BG$3,PAAC!#REF!,0),0)</f>
        <v>#NAME?</v>
      </c>
      <c r="BH76" t="e">
        <f>+VLOOKUP($N76,P1081_3,MATCH(BH$3,PAAC!#REF!,0),0)</f>
        <v>#NAME?</v>
      </c>
      <c r="BI76" t="e">
        <f>+VLOOKUP($N76,P1081_3,MATCH(BI$3,PAAC!#REF!,0),0)</f>
        <v>#NAME?</v>
      </c>
      <c r="BJ76" t="str">
        <f t="shared" si="55"/>
        <v/>
      </c>
    </row>
    <row r="77" spans="1:62" x14ac:dyDescent="0.3">
      <c r="A77">
        <v>165</v>
      </c>
      <c r="B77">
        <v>1156</v>
      </c>
      <c r="C77" t="s">
        <v>149</v>
      </c>
      <c r="D77">
        <v>9</v>
      </c>
      <c r="E77" t="s">
        <v>977</v>
      </c>
      <c r="F77" t="s">
        <v>952</v>
      </c>
      <c r="G77" t="s">
        <v>953</v>
      </c>
      <c r="H77" t="s">
        <v>146</v>
      </c>
      <c r="I77" t="s">
        <v>978</v>
      </c>
      <c r="J77" t="s">
        <v>979</v>
      </c>
      <c r="K77" t="s">
        <v>980</v>
      </c>
      <c r="L77" t="s">
        <v>601</v>
      </c>
      <c r="M77" t="s">
        <v>639</v>
      </c>
      <c r="N77" t="str">
        <f t="shared" si="38"/>
        <v>165_3</v>
      </c>
      <c r="O77">
        <v>3</v>
      </c>
      <c r="P77" s="13">
        <v>1</v>
      </c>
      <c r="Q77">
        <v>3</v>
      </c>
      <c r="R77" t="s">
        <v>990</v>
      </c>
      <c r="S77" t="s">
        <v>985</v>
      </c>
      <c r="T77" t="s">
        <v>959</v>
      </c>
      <c r="U77" s="13">
        <v>0.1</v>
      </c>
      <c r="V77" s="13">
        <f t="shared" si="39"/>
        <v>0.28000000000000003</v>
      </c>
      <c r="W77" s="13">
        <f t="shared" si="56"/>
        <v>0.35714285714285715</v>
      </c>
      <c r="X77" s="9">
        <v>43831</v>
      </c>
      <c r="Y77" s="9">
        <v>43982</v>
      </c>
      <c r="Z77" s="10">
        <v>0</v>
      </c>
      <c r="AA77" s="13">
        <f t="shared" si="40"/>
        <v>0</v>
      </c>
      <c r="AB77" s="13">
        <f t="shared" si="41"/>
        <v>0.13928571428571426</v>
      </c>
      <c r="AC77" t="s">
        <v>983</v>
      </c>
      <c r="AD77" s="10">
        <v>0</v>
      </c>
      <c r="AE77" s="13">
        <f t="shared" si="42"/>
        <v>0</v>
      </c>
      <c r="AF77" s="13">
        <f t="shared" si="43"/>
        <v>0.10357142857142855</v>
      </c>
      <c r="AG77" t="s">
        <v>983</v>
      </c>
      <c r="AH77" s="10">
        <v>1</v>
      </c>
      <c r="AI77" s="13">
        <f t="shared" si="44"/>
        <v>0.35714285714285715</v>
      </c>
      <c r="AJ77" s="13">
        <f t="shared" si="45"/>
        <v>0.46071428571428569</v>
      </c>
      <c r="AK77" t="s">
        <v>983</v>
      </c>
      <c r="AL77" s="10">
        <v>0</v>
      </c>
      <c r="AM77" s="13">
        <f t="shared" si="46"/>
        <v>0</v>
      </c>
      <c r="AN77" s="13">
        <f t="shared" si="47"/>
        <v>0.19285714285714284</v>
      </c>
      <c r="AO77" t="s">
        <v>983</v>
      </c>
      <c r="AP77" s="10">
        <v>0</v>
      </c>
      <c r="AQ77" s="13">
        <f t="shared" si="48"/>
        <v>0</v>
      </c>
      <c r="AR77" s="13">
        <f t="shared" si="49"/>
        <v>0.10357142857142855</v>
      </c>
      <c r="AS77" t="s">
        <v>983</v>
      </c>
      <c r="AT77"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77" s="14">
        <f t="shared" si="51"/>
        <v>1</v>
      </c>
      <c r="AV77" s="13">
        <f t="shared" si="52"/>
        <v>0.35714285714285715</v>
      </c>
      <c r="AW77" s="13">
        <f t="shared" si="53"/>
        <v>0.99999999999999989</v>
      </c>
      <c r="AX77" t="s">
        <v>982</v>
      </c>
      <c r="AY77" t="s">
        <v>984</v>
      </c>
      <c r="AZ77" t="s">
        <v>985</v>
      </c>
      <c r="BA77" t="s">
        <v>986</v>
      </c>
      <c r="BB77" t="s">
        <v>987</v>
      </c>
      <c r="BC77" t="s">
        <v>988</v>
      </c>
      <c r="BD77"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77" t="e">
        <f>+VLOOKUP($N77,P1081_3,MATCH(BE$3,PAAC!#REF!,0),0)</f>
        <v>#NAME?</v>
      </c>
      <c r="BF77" t="e">
        <f>+VLOOKUP($N77,P1081_3,MATCH(BF$3,PAAC!#REF!,0),0)</f>
        <v>#NAME?</v>
      </c>
      <c r="BG77" t="e">
        <f>+VLOOKUP($N77,P1081_3,MATCH(BG$3,PAAC!#REF!,0),0)</f>
        <v>#NAME?</v>
      </c>
      <c r="BH77" t="e">
        <f>+VLOOKUP($N77,P1081_3,MATCH(BH$3,PAAC!#REF!,0),0)</f>
        <v>#NAME?</v>
      </c>
      <c r="BI77" t="e">
        <f>+VLOOKUP($N77,P1081_3,MATCH(BI$3,PAAC!#REF!,0),0)</f>
        <v>#NAME?</v>
      </c>
      <c r="BJ77" t="str">
        <f t="shared" si="55"/>
        <v/>
      </c>
    </row>
    <row r="78" spans="1:62" x14ac:dyDescent="0.3">
      <c r="A78">
        <v>165</v>
      </c>
      <c r="B78">
        <v>1156</v>
      </c>
      <c r="C78" t="s">
        <v>149</v>
      </c>
      <c r="D78">
        <v>9</v>
      </c>
      <c r="E78" t="s">
        <v>977</v>
      </c>
      <c r="F78" t="s">
        <v>952</v>
      </c>
      <c r="G78" t="s">
        <v>953</v>
      </c>
      <c r="H78" t="s">
        <v>146</v>
      </c>
      <c r="I78" t="s">
        <v>978</v>
      </c>
      <c r="J78" t="s">
        <v>979</v>
      </c>
      <c r="K78" t="s">
        <v>980</v>
      </c>
      <c r="L78" t="s">
        <v>601</v>
      </c>
      <c r="M78" t="s">
        <v>639</v>
      </c>
      <c r="N78" t="str">
        <f t="shared" si="38"/>
        <v>165_4</v>
      </c>
      <c r="O78">
        <v>3</v>
      </c>
      <c r="P78" s="13">
        <v>1</v>
      </c>
      <c r="Q78">
        <v>4</v>
      </c>
      <c r="R78" t="s">
        <v>991</v>
      </c>
      <c r="S78" t="s">
        <v>986</v>
      </c>
      <c r="T78" t="s">
        <v>959</v>
      </c>
      <c r="U78" s="13">
        <v>0.02</v>
      </c>
      <c r="V78" s="13">
        <f t="shared" si="39"/>
        <v>0.28000000000000003</v>
      </c>
      <c r="W78" s="13">
        <f t="shared" si="56"/>
        <v>7.1428571428571425E-2</v>
      </c>
      <c r="X78" s="9">
        <v>43831</v>
      </c>
      <c r="Y78" s="9">
        <v>43982</v>
      </c>
      <c r="Z78" s="10">
        <v>0.5</v>
      </c>
      <c r="AA78" s="13">
        <f t="shared" si="40"/>
        <v>3.5714285714285712E-2</v>
      </c>
      <c r="AB78" s="13">
        <f t="shared" si="41"/>
        <v>0.13928571428571426</v>
      </c>
      <c r="AC78" t="s">
        <v>983</v>
      </c>
      <c r="AD78" s="10">
        <v>0</v>
      </c>
      <c r="AE78" s="13">
        <f t="shared" si="42"/>
        <v>0</v>
      </c>
      <c r="AF78" s="13">
        <f t="shared" si="43"/>
        <v>0.10357142857142855</v>
      </c>
      <c r="AG78" t="s">
        <v>983</v>
      </c>
      <c r="AH78" s="10">
        <v>0</v>
      </c>
      <c r="AI78" s="13">
        <f t="shared" si="44"/>
        <v>0</v>
      </c>
      <c r="AJ78" s="13">
        <f t="shared" si="45"/>
        <v>0.46071428571428569</v>
      </c>
      <c r="AK78" t="s">
        <v>983</v>
      </c>
      <c r="AL78" s="10">
        <v>0.5</v>
      </c>
      <c r="AM78" s="13">
        <f t="shared" si="46"/>
        <v>3.5714285714285712E-2</v>
      </c>
      <c r="AN78" s="13">
        <f t="shared" si="47"/>
        <v>0.19285714285714284</v>
      </c>
      <c r="AO78" t="s">
        <v>983</v>
      </c>
      <c r="AP78" s="10">
        <v>0</v>
      </c>
      <c r="AQ78" s="13">
        <f t="shared" si="48"/>
        <v>0</v>
      </c>
      <c r="AR78" s="13">
        <f t="shared" si="49"/>
        <v>0.10357142857142855</v>
      </c>
      <c r="AS78" t="s">
        <v>983</v>
      </c>
      <c r="AT78"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78" s="14">
        <f t="shared" si="51"/>
        <v>1</v>
      </c>
      <c r="AV78" s="13">
        <f t="shared" si="52"/>
        <v>7.1428571428571425E-2</v>
      </c>
      <c r="AW78" s="13">
        <f t="shared" si="53"/>
        <v>0.99999999999999989</v>
      </c>
      <c r="AX78" t="s">
        <v>982</v>
      </c>
      <c r="AY78" t="s">
        <v>984</v>
      </c>
      <c r="AZ78" t="s">
        <v>985</v>
      </c>
      <c r="BA78" t="s">
        <v>986</v>
      </c>
      <c r="BB78" t="s">
        <v>987</v>
      </c>
      <c r="BC78" t="s">
        <v>988</v>
      </c>
      <c r="BD78"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78" t="e">
        <f>+VLOOKUP($N78,P1081_3,MATCH(BE$3,PAAC!#REF!,0),0)</f>
        <v>#NAME?</v>
      </c>
      <c r="BF78" t="e">
        <f>+VLOOKUP($N78,P1081_3,MATCH(BF$3,PAAC!#REF!,0),0)</f>
        <v>#NAME?</v>
      </c>
      <c r="BG78" t="e">
        <f>+VLOOKUP($N78,P1081_3,MATCH(BG$3,PAAC!#REF!,0),0)</f>
        <v>#NAME?</v>
      </c>
      <c r="BH78" t="e">
        <f>+VLOOKUP($N78,P1081_3,MATCH(BH$3,PAAC!#REF!,0),0)</f>
        <v>#NAME?</v>
      </c>
      <c r="BI78" t="e">
        <f>+VLOOKUP($N78,P1081_3,MATCH(BI$3,PAAC!#REF!,0),0)</f>
        <v>#NAME?</v>
      </c>
      <c r="BJ78" t="str">
        <f t="shared" si="55"/>
        <v/>
      </c>
    </row>
    <row r="79" spans="1:62" x14ac:dyDescent="0.3">
      <c r="A79">
        <v>165</v>
      </c>
      <c r="B79">
        <v>1156</v>
      </c>
      <c r="C79" t="s">
        <v>149</v>
      </c>
      <c r="D79">
        <v>9</v>
      </c>
      <c r="E79" t="s">
        <v>977</v>
      </c>
      <c r="F79" t="s">
        <v>952</v>
      </c>
      <c r="G79" t="s">
        <v>953</v>
      </c>
      <c r="H79" t="s">
        <v>146</v>
      </c>
      <c r="I79" t="s">
        <v>978</v>
      </c>
      <c r="J79" t="s">
        <v>979</v>
      </c>
      <c r="K79" t="s">
        <v>980</v>
      </c>
      <c r="L79" t="s">
        <v>601</v>
      </c>
      <c r="M79" t="s">
        <v>639</v>
      </c>
      <c r="N79" t="str">
        <f t="shared" si="38"/>
        <v>165_5</v>
      </c>
      <c r="O79">
        <v>3</v>
      </c>
      <c r="P79" s="13">
        <v>1</v>
      </c>
      <c r="Q79">
        <v>5</v>
      </c>
      <c r="R79" t="s">
        <v>992</v>
      </c>
      <c r="S79" t="s">
        <v>987</v>
      </c>
      <c r="T79" t="s">
        <v>959</v>
      </c>
      <c r="U79" s="13">
        <v>0.04</v>
      </c>
      <c r="V79" s="13">
        <f t="shared" si="39"/>
        <v>0.28000000000000003</v>
      </c>
      <c r="W79" s="13">
        <f t="shared" si="56"/>
        <v>0.14285714285714285</v>
      </c>
      <c r="X79" s="9">
        <v>43831</v>
      </c>
      <c r="Y79" s="9">
        <v>43982</v>
      </c>
      <c r="Z79" s="10">
        <v>0</v>
      </c>
      <c r="AA79" s="13">
        <f t="shared" si="40"/>
        <v>0</v>
      </c>
      <c r="AB79" s="13">
        <f t="shared" si="41"/>
        <v>0.13928571428571426</v>
      </c>
      <c r="AC79" t="s">
        <v>983</v>
      </c>
      <c r="AD79" s="10">
        <v>0.25</v>
      </c>
      <c r="AE79" s="13">
        <f t="shared" si="42"/>
        <v>3.5714285714285712E-2</v>
      </c>
      <c r="AF79" s="13">
        <f t="shared" si="43"/>
        <v>0.10357142857142855</v>
      </c>
      <c r="AG79" t="s">
        <v>983</v>
      </c>
      <c r="AH79" s="10">
        <v>0.25</v>
      </c>
      <c r="AI79" s="13">
        <f t="shared" si="44"/>
        <v>3.5714285714285712E-2</v>
      </c>
      <c r="AJ79" s="13">
        <f t="shared" si="45"/>
        <v>0.46071428571428569</v>
      </c>
      <c r="AK79" t="s">
        <v>983</v>
      </c>
      <c r="AL79" s="10">
        <v>0.25</v>
      </c>
      <c r="AM79" s="13">
        <f t="shared" si="46"/>
        <v>3.5714285714285712E-2</v>
      </c>
      <c r="AN79" s="13">
        <f t="shared" si="47"/>
        <v>0.19285714285714284</v>
      </c>
      <c r="AO79" t="s">
        <v>983</v>
      </c>
      <c r="AP79" s="10">
        <v>0.25</v>
      </c>
      <c r="AQ79" s="13">
        <f t="shared" si="48"/>
        <v>3.5714285714285712E-2</v>
      </c>
      <c r="AR79" s="13">
        <f t="shared" si="49"/>
        <v>0.10357142857142855</v>
      </c>
      <c r="AS79" t="s">
        <v>983</v>
      </c>
      <c r="AT79"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79" s="14">
        <f t="shared" si="51"/>
        <v>1</v>
      </c>
      <c r="AV79" s="13">
        <f t="shared" si="52"/>
        <v>0.14285714285714285</v>
      </c>
      <c r="AW79" s="13">
        <f t="shared" si="53"/>
        <v>0.99999999999999989</v>
      </c>
      <c r="AX79" t="s">
        <v>982</v>
      </c>
      <c r="AY79" t="s">
        <v>984</v>
      </c>
      <c r="AZ79" t="s">
        <v>985</v>
      </c>
      <c r="BA79" t="s">
        <v>986</v>
      </c>
      <c r="BB79" t="s">
        <v>987</v>
      </c>
      <c r="BC79" t="s">
        <v>988</v>
      </c>
      <c r="BD79"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79" t="e">
        <f>+VLOOKUP($N79,P1081_3,MATCH(BE$3,PAAC!#REF!,0),0)</f>
        <v>#NAME?</v>
      </c>
      <c r="BF79" t="e">
        <f>+VLOOKUP($N79,P1081_3,MATCH(BF$3,PAAC!#REF!,0),0)</f>
        <v>#NAME?</v>
      </c>
      <c r="BG79" t="e">
        <f>+VLOOKUP($N79,P1081_3,MATCH(BG$3,PAAC!#REF!,0),0)</f>
        <v>#NAME?</v>
      </c>
      <c r="BH79" t="e">
        <f>+VLOOKUP($N79,P1081_3,MATCH(BH$3,PAAC!#REF!,0),0)</f>
        <v>#NAME?</v>
      </c>
      <c r="BI79" t="e">
        <f>+VLOOKUP($N79,P1081_3,MATCH(BI$3,PAAC!#REF!,0),0)</f>
        <v>#NAME?</v>
      </c>
      <c r="BJ79" t="str">
        <f t="shared" si="55"/>
        <v/>
      </c>
    </row>
    <row r="80" spans="1:62" x14ac:dyDescent="0.3">
      <c r="A80">
        <v>165</v>
      </c>
      <c r="B80">
        <v>1156</v>
      </c>
      <c r="C80" t="s">
        <v>149</v>
      </c>
      <c r="D80">
        <v>9</v>
      </c>
      <c r="E80" t="s">
        <v>977</v>
      </c>
      <c r="F80" t="s">
        <v>952</v>
      </c>
      <c r="G80" t="s">
        <v>953</v>
      </c>
      <c r="H80" t="s">
        <v>146</v>
      </c>
      <c r="I80" t="s">
        <v>978</v>
      </c>
      <c r="J80" t="s">
        <v>979</v>
      </c>
      <c r="K80" t="s">
        <v>980</v>
      </c>
      <c r="L80" t="s">
        <v>601</v>
      </c>
      <c r="M80" t="s">
        <v>639</v>
      </c>
      <c r="N80" t="str">
        <f t="shared" si="38"/>
        <v>165_6</v>
      </c>
      <c r="O80">
        <v>3</v>
      </c>
      <c r="P80" s="13">
        <v>1</v>
      </c>
      <c r="Q80">
        <v>6</v>
      </c>
      <c r="R80" t="s">
        <v>993</v>
      </c>
      <c r="S80" t="s">
        <v>988</v>
      </c>
      <c r="T80" t="s">
        <v>959</v>
      </c>
      <c r="U80" s="13">
        <v>0.02</v>
      </c>
      <c r="V80" s="13">
        <f t="shared" si="39"/>
        <v>0.28000000000000003</v>
      </c>
      <c r="W80" s="13">
        <f t="shared" si="56"/>
        <v>7.1428571428571425E-2</v>
      </c>
      <c r="X80" s="9">
        <v>43831</v>
      </c>
      <c r="Y80" s="9">
        <v>43982</v>
      </c>
      <c r="Z80" s="10">
        <v>0</v>
      </c>
      <c r="AA80" s="13">
        <f t="shared" si="40"/>
        <v>0</v>
      </c>
      <c r="AB80" s="13">
        <f t="shared" si="41"/>
        <v>0.13928571428571426</v>
      </c>
      <c r="AC80" t="s">
        <v>983</v>
      </c>
      <c r="AD80" s="10">
        <v>0.25</v>
      </c>
      <c r="AE80" s="13">
        <f t="shared" si="42"/>
        <v>1.7857142857142856E-2</v>
      </c>
      <c r="AF80" s="13">
        <f t="shared" si="43"/>
        <v>0.10357142857142855</v>
      </c>
      <c r="AG80" t="s">
        <v>983</v>
      </c>
      <c r="AH80" s="10">
        <v>0.25</v>
      </c>
      <c r="AI80" s="13">
        <f t="shared" si="44"/>
        <v>1.7857142857142856E-2</v>
      </c>
      <c r="AJ80" s="13">
        <f t="shared" si="45"/>
        <v>0.46071428571428569</v>
      </c>
      <c r="AK80" t="s">
        <v>983</v>
      </c>
      <c r="AL80" s="10">
        <v>0.25</v>
      </c>
      <c r="AM80" s="13">
        <f t="shared" si="46"/>
        <v>1.7857142857142856E-2</v>
      </c>
      <c r="AN80" s="13">
        <f t="shared" si="47"/>
        <v>0.19285714285714284</v>
      </c>
      <c r="AO80" t="s">
        <v>983</v>
      </c>
      <c r="AP80" s="10">
        <v>0.25</v>
      </c>
      <c r="AQ80" s="13">
        <f t="shared" si="48"/>
        <v>1.7857142857142856E-2</v>
      </c>
      <c r="AR80" s="13">
        <f t="shared" si="49"/>
        <v>0.10357142857142855</v>
      </c>
      <c r="AS80" t="s">
        <v>983</v>
      </c>
      <c r="AT80"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80" s="14">
        <f t="shared" si="51"/>
        <v>1</v>
      </c>
      <c r="AV80" s="13">
        <f t="shared" si="52"/>
        <v>7.1428571428571425E-2</v>
      </c>
      <c r="AW80" s="13">
        <f t="shared" si="53"/>
        <v>0.99999999999999989</v>
      </c>
      <c r="AX80" t="s">
        <v>982</v>
      </c>
      <c r="AY80" t="s">
        <v>984</v>
      </c>
      <c r="AZ80" t="s">
        <v>985</v>
      </c>
      <c r="BA80" t="s">
        <v>986</v>
      </c>
      <c r="BB80" t="s">
        <v>987</v>
      </c>
      <c r="BC80" t="s">
        <v>988</v>
      </c>
      <c r="BD80"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80" t="e">
        <f>+VLOOKUP($N80,P1081_3,MATCH(BE$3,PAAC!#REF!,0),0)</f>
        <v>#NAME?</v>
      </c>
      <c r="BF80" t="e">
        <f>+VLOOKUP($N80,P1081_3,MATCH(BF$3,PAAC!#REF!,0),0)</f>
        <v>#NAME?</v>
      </c>
      <c r="BG80" t="e">
        <f>+VLOOKUP($N80,P1081_3,MATCH(BG$3,PAAC!#REF!,0),0)</f>
        <v>#NAME?</v>
      </c>
      <c r="BH80" t="e">
        <f>+VLOOKUP($N80,P1081_3,MATCH(BH$3,PAAC!#REF!,0),0)</f>
        <v>#NAME?</v>
      </c>
      <c r="BI80" t="e">
        <f>+VLOOKUP($N80,P1081_3,MATCH(BI$3,PAAC!#REF!,0),0)</f>
        <v>#NAME?</v>
      </c>
      <c r="BJ80" t="str">
        <f t="shared" si="55"/>
        <v/>
      </c>
    </row>
    <row r="81" spans="1:62" x14ac:dyDescent="0.3">
      <c r="A81">
        <v>165</v>
      </c>
      <c r="B81">
        <v>1156</v>
      </c>
      <c r="C81" t="s">
        <v>149</v>
      </c>
      <c r="D81">
        <v>9</v>
      </c>
      <c r="E81" t="s">
        <v>977</v>
      </c>
      <c r="F81" t="s">
        <v>952</v>
      </c>
      <c r="G81" t="s">
        <v>953</v>
      </c>
      <c r="H81" t="s">
        <v>146</v>
      </c>
      <c r="I81" t="s">
        <v>978</v>
      </c>
      <c r="J81" t="s">
        <v>979</v>
      </c>
      <c r="K81" t="s">
        <v>980</v>
      </c>
      <c r="L81" t="s">
        <v>601</v>
      </c>
      <c r="M81" t="s">
        <v>639</v>
      </c>
      <c r="N81" t="str">
        <f t="shared" si="38"/>
        <v>165_7</v>
      </c>
      <c r="O81">
        <v>3</v>
      </c>
      <c r="P81" s="13">
        <v>1</v>
      </c>
      <c r="Q81">
        <v>7</v>
      </c>
      <c r="R81" t="s">
        <v>994</v>
      </c>
      <c r="S81" t="s">
        <v>995</v>
      </c>
      <c r="T81" t="s">
        <v>959</v>
      </c>
      <c r="U81" s="13">
        <v>0.03</v>
      </c>
      <c r="V81" s="13">
        <f t="shared" si="39"/>
        <v>0.28000000000000003</v>
      </c>
      <c r="W81" s="13">
        <f t="shared" si="56"/>
        <v>0.10714285714285712</v>
      </c>
      <c r="X81" s="9">
        <v>43831</v>
      </c>
      <c r="Y81" s="9">
        <v>43982</v>
      </c>
      <c r="Z81" s="10">
        <v>0.2</v>
      </c>
      <c r="AA81" s="13">
        <f t="shared" si="40"/>
        <v>2.1428571428571425E-2</v>
      </c>
      <c r="AB81" s="13">
        <f t="shared" si="41"/>
        <v>0.13928571428571426</v>
      </c>
      <c r="AC81" t="s">
        <v>983</v>
      </c>
      <c r="AD81" s="10">
        <v>0.2</v>
      </c>
      <c r="AE81" s="13">
        <f t="shared" si="42"/>
        <v>2.1428571428571425E-2</v>
      </c>
      <c r="AF81" s="13">
        <f t="shared" si="43"/>
        <v>0.10357142857142855</v>
      </c>
      <c r="AG81" t="s">
        <v>983</v>
      </c>
      <c r="AH81" s="10">
        <v>0.2</v>
      </c>
      <c r="AI81" s="13">
        <f t="shared" si="44"/>
        <v>2.1428571428571425E-2</v>
      </c>
      <c r="AJ81" s="13">
        <f t="shared" si="45"/>
        <v>0.46071428571428569</v>
      </c>
      <c r="AK81" t="s">
        <v>983</v>
      </c>
      <c r="AL81" s="10">
        <v>0.2</v>
      </c>
      <c r="AM81" s="13">
        <f t="shared" si="46"/>
        <v>2.1428571428571425E-2</v>
      </c>
      <c r="AN81" s="13">
        <f t="shared" si="47"/>
        <v>0.19285714285714284</v>
      </c>
      <c r="AO81" t="s">
        <v>983</v>
      </c>
      <c r="AP81" s="10">
        <v>0.2</v>
      </c>
      <c r="AQ81" s="13">
        <f t="shared" si="48"/>
        <v>2.1428571428571425E-2</v>
      </c>
      <c r="AR81" s="13">
        <f t="shared" si="49"/>
        <v>0.10357142857142855</v>
      </c>
      <c r="AS81" t="s">
        <v>983</v>
      </c>
      <c r="AT81" t="str">
        <f t="shared" si="50"/>
        <v>ENERO: -Actas de reunión del comite
-Correos electronicos
-Fotografías
-Listados de asistencia FEBRERO: -Actas de reunión del comite
-Correos electronicos
-Fotografías
-Listados de asistencia MARZO: -Actas de reunión del comite
-Correos electronicos
-Fotografías
-Listados de asistencia ABRIL: -Actas de reunión del comite
-Correos electronicos
-Fotografías
-Listados de asistencia MAYO: -Actas de reunión del comite
-Correos electronicos
-Fotografías
-Listados de asistencia</v>
      </c>
      <c r="AU81" s="14">
        <f t="shared" si="51"/>
        <v>1</v>
      </c>
      <c r="AV81" s="13">
        <f t="shared" si="52"/>
        <v>0.10714285714285712</v>
      </c>
      <c r="AW81" s="13">
        <f t="shared" si="53"/>
        <v>0.99999999999999989</v>
      </c>
      <c r="AX81" t="s">
        <v>982</v>
      </c>
      <c r="AY81" t="s">
        <v>984</v>
      </c>
      <c r="AZ81" t="s">
        <v>985</v>
      </c>
      <c r="BA81" t="s">
        <v>986</v>
      </c>
      <c r="BB81" t="s">
        <v>987</v>
      </c>
      <c r="BC81" t="s">
        <v>988</v>
      </c>
      <c r="BD81" t="str">
        <f t="shared" si="54"/>
        <v>Brindar asistencia técnica para la formulación, implementación, seguimiento y evaluación a la politica pública en el Distrito.Diseñar, implementar y hacer seguimiento a una estrategia de divulgación y sensibilización de la polìtica pública de víctimasEjercer la secretaría técnica del Comité Distrital de Justicia Transicional y sus espacios respectivosFormular, actualizar y hacer seguimiento al Plan de Acción Distrital de víctimas, paz y reconciliación en el marco del Comité Distrital de Justicia TransicionalGestión de alianzas con entidades públicas y/o privadas y cooperación internacional para la implementación de la política de víctimas, paz y reconciliaciónGestión de la información para el mejoramiento de la coordinación, articulación y toma de decisiones en el Sistema Distrital de Atención y Reparación a Víctimas, Paz y Reconciliación</v>
      </c>
      <c r="BE81" t="e">
        <f>+VLOOKUP($N81,P1081_3,MATCH(BE$3,PAAC!#REF!,0),0)</f>
        <v>#NAME?</v>
      </c>
      <c r="BF81" t="e">
        <f>+VLOOKUP($N81,P1081_3,MATCH(BF$3,PAAC!#REF!,0),0)</f>
        <v>#NAME?</v>
      </c>
      <c r="BG81" t="e">
        <f>+VLOOKUP($N81,P1081_3,MATCH(BG$3,PAAC!#REF!,0),0)</f>
        <v>#NAME?</v>
      </c>
      <c r="BH81" t="e">
        <f>+VLOOKUP($N81,P1081_3,MATCH(BH$3,PAAC!#REF!,0),0)</f>
        <v>#NAME?</v>
      </c>
      <c r="BI81" t="e">
        <f>+VLOOKUP($N81,P1081_3,MATCH(BI$3,PAAC!#REF!,0),0)</f>
        <v>#NAME?</v>
      </c>
      <c r="BJ81" t="str">
        <f t="shared" si="55"/>
        <v/>
      </c>
    </row>
    <row r="82" spans="1:62" x14ac:dyDescent="0.3">
      <c r="A82">
        <v>167</v>
      </c>
      <c r="B82">
        <v>1156</v>
      </c>
      <c r="C82" t="s">
        <v>149</v>
      </c>
      <c r="D82">
        <v>2</v>
      </c>
      <c r="E82" t="s">
        <v>996</v>
      </c>
      <c r="F82" t="s">
        <v>952</v>
      </c>
      <c r="G82" t="s">
        <v>953</v>
      </c>
      <c r="H82" t="s">
        <v>146</v>
      </c>
      <c r="I82" t="s">
        <v>997</v>
      </c>
      <c r="J82" t="s">
        <v>998</v>
      </c>
      <c r="K82" t="s">
        <v>999</v>
      </c>
      <c r="L82" t="s">
        <v>601</v>
      </c>
      <c r="M82" t="s">
        <v>602</v>
      </c>
      <c r="N82" t="str">
        <f t="shared" si="38"/>
        <v>167_1</v>
      </c>
      <c r="O82">
        <v>100</v>
      </c>
      <c r="P82" s="13">
        <v>1</v>
      </c>
      <c r="Q82">
        <v>1</v>
      </c>
      <c r="R82" t="s">
        <v>1000</v>
      </c>
      <c r="S82" t="s">
        <v>1001</v>
      </c>
      <c r="T82" t="s">
        <v>959</v>
      </c>
      <c r="U82" s="13">
        <v>0.15</v>
      </c>
      <c r="V82" s="13">
        <f t="shared" si="39"/>
        <v>0.15</v>
      </c>
      <c r="W82" s="13">
        <f t="shared" si="56"/>
        <v>1</v>
      </c>
      <c r="X82" s="9">
        <v>43831</v>
      </c>
      <c r="Y82" s="9">
        <v>43982</v>
      </c>
      <c r="Z82" s="10">
        <v>0.2</v>
      </c>
      <c r="AA82" s="13">
        <f t="shared" si="40"/>
        <v>0.2</v>
      </c>
      <c r="AB82" s="13">
        <f t="shared" si="41"/>
        <v>0.2</v>
      </c>
      <c r="AC82" t="s">
        <v>1002</v>
      </c>
      <c r="AD82" s="10">
        <v>0.2</v>
      </c>
      <c r="AE82" s="13">
        <f t="shared" si="42"/>
        <v>0.2</v>
      </c>
      <c r="AF82" s="13">
        <f t="shared" si="43"/>
        <v>0.2</v>
      </c>
      <c r="AG82" t="s">
        <v>1002</v>
      </c>
      <c r="AH82" s="10">
        <v>0.2</v>
      </c>
      <c r="AI82" s="13">
        <f t="shared" si="44"/>
        <v>0.2</v>
      </c>
      <c r="AJ82" s="13">
        <f t="shared" si="45"/>
        <v>0.2</v>
      </c>
      <c r="AK82" t="s">
        <v>1002</v>
      </c>
      <c r="AL82" s="10">
        <v>0.2</v>
      </c>
      <c r="AM82" s="13">
        <f t="shared" si="46"/>
        <v>0.2</v>
      </c>
      <c r="AN82" s="13">
        <f t="shared" si="47"/>
        <v>0.2</v>
      </c>
      <c r="AO82" t="s">
        <v>1002</v>
      </c>
      <c r="AP82" s="10">
        <v>0.2</v>
      </c>
      <c r="AQ82" s="13">
        <f t="shared" si="48"/>
        <v>0.2</v>
      </c>
      <c r="AR82" s="13">
        <f t="shared" si="49"/>
        <v>0.2</v>
      </c>
      <c r="AS82" t="s">
        <v>1002</v>
      </c>
      <c r="AT82" t="str">
        <f t="shared" si="50"/>
        <v>ENERO: -Informe cualitativo con reporte de las medidas entregadas mensualmente
Carpeta articulación CLAV
Carpeta de articulación nivel central
Carpeta de asistencia funeraria
Carpeta de capacitaciones
Carpeta de informes de coordinación CLAV FEBRERO: -Informe cualitativo con reporte de las medidas entregadas mensualmente
Carpeta articulación CLAV
Carpeta de articulación nivel central
Carpeta de asistencia funeraria
Carpeta de capacitaciones
Carpeta de informes de coordinación CLAV MARZO: -Informe cualitativo con reporte de las medidas entregadas mensualmente
Carpeta articulación CLAV
Carpeta de articulación nivel central
Carpeta de asistencia funeraria
Carpeta de capacitaciones
Carpeta de informes de coordinación CLAV ABRIL: -Informe cualitativo con reporte de las medidas entregadas mensualmente
Carpeta articulación CLAV
Carpeta de articulación nivel central
Carpeta de asistencia funeraria
Carpeta de capacitaciones
Carpeta de informes de coordinación CLAV MAYO: -Informe cualitativo con reporte de las medidas entregadas mensualmente
Carpeta articulación CLAV
Carpeta de articulación nivel central
Carpeta de asistencia funeraria
Carpeta de capacitaciones
Carpeta de informes de coordinación CLAV</v>
      </c>
      <c r="AU82" s="14">
        <f t="shared" si="51"/>
        <v>1</v>
      </c>
      <c r="AV82" s="13">
        <f t="shared" si="52"/>
        <v>1</v>
      </c>
      <c r="AW82" s="13">
        <f t="shared" si="53"/>
        <v>1</v>
      </c>
      <c r="AX82" t="s">
        <v>1001</v>
      </c>
      <c r="BD82" t="str">
        <f t="shared" si="54"/>
        <v>Otorgar ayuda humanitaria en los términos establecidos en la Ley 1448 de 2011 y la normatividad y jurisprudencia vigente</v>
      </c>
      <c r="BE82" t="e">
        <f>+VLOOKUP($N82,P1081_3,MATCH(BE$3,PAAC!#REF!,0),0)</f>
        <v>#NAME?</v>
      </c>
      <c r="BF82" t="e">
        <f>+VLOOKUP($N82,P1081_3,MATCH(BF$3,PAAC!#REF!,0),0)</f>
        <v>#NAME?</v>
      </c>
      <c r="BG82" t="e">
        <f>+VLOOKUP($N82,P1081_3,MATCH(BG$3,PAAC!#REF!,0),0)</f>
        <v>#NAME?</v>
      </c>
      <c r="BH82" t="e">
        <f>+VLOOKUP($N82,P1081_3,MATCH(BH$3,PAAC!#REF!,0),0)</f>
        <v>#NAME?</v>
      </c>
      <c r="BI82" t="e">
        <f>+VLOOKUP($N82,P1081_3,MATCH(BI$3,PAAC!#REF!,0),0)</f>
        <v>#NAME?</v>
      </c>
      <c r="BJ82" t="str">
        <f t="shared" si="55"/>
        <v/>
      </c>
    </row>
    <row r="83" spans="1:62" x14ac:dyDescent="0.3">
      <c r="A83">
        <v>168</v>
      </c>
      <c r="B83">
        <v>1156</v>
      </c>
      <c r="C83" t="s">
        <v>149</v>
      </c>
      <c r="D83">
        <v>3</v>
      </c>
      <c r="E83" t="s">
        <v>1003</v>
      </c>
      <c r="F83" t="s">
        <v>952</v>
      </c>
      <c r="G83" t="s">
        <v>953</v>
      </c>
      <c r="H83" t="s">
        <v>146</v>
      </c>
      <c r="I83" t="s">
        <v>1004</v>
      </c>
      <c r="J83" t="s">
        <v>1005</v>
      </c>
      <c r="K83" t="s">
        <v>1006</v>
      </c>
      <c r="L83" t="s">
        <v>638</v>
      </c>
      <c r="M83" t="s">
        <v>639</v>
      </c>
      <c r="N83" t="str">
        <f t="shared" si="38"/>
        <v>168_1</v>
      </c>
      <c r="O83">
        <v>5676</v>
      </c>
      <c r="P83" s="13">
        <v>1</v>
      </c>
      <c r="Q83">
        <v>1</v>
      </c>
      <c r="R83" t="s">
        <v>1007</v>
      </c>
      <c r="S83" t="s">
        <v>1008</v>
      </c>
      <c r="T83" t="s">
        <v>959</v>
      </c>
      <c r="U83" s="13">
        <v>0.05</v>
      </c>
      <c r="V83" s="13">
        <f t="shared" si="39"/>
        <v>0.2</v>
      </c>
      <c r="W83" s="13">
        <f t="shared" si="56"/>
        <v>0.25</v>
      </c>
      <c r="X83" s="9">
        <v>43831</v>
      </c>
      <c r="Y83" s="9">
        <v>43982</v>
      </c>
      <c r="Z83" s="10">
        <v>0.2</v>
      </c>
      <c r="AA83" s="13">
        <f t="shared" si="40"/>
        <v>0.05</v>
      </c>
      <c r="AB83" s="13">
        <f t="shared" si="41"/>
        <v>0.18</v>
      </c>
      <c r="AC83" t="s">
        <v>1009</v>
      </c>
      <c r="AD83" s="10">
        <v>0.2</v>
      </c>
      <c r="AE83" s="13">
        <f t="shared" si="42"/>
        <v>0.05</v>
      </c>
      <c r="AF83" s="13">
        <f t="shared" si="43"/>
        <v>0.185</v>
      </c>
      <c r="AG83" t="s">
        <v>1009</v>
      </c>
      <c r="AH83" s="10">
        <v>0.2</v>
      </c>
      <c r="AI83" s="13">
        <f t="shared" si="44"/>
        <v>0.05</v>
      </c>
      <c r="AJ83" s="13">
        <f t="shared" si="45"/>
        <v>0.21000000000000002</v>
      </c>
      <c r="AK83" t="s">
        <v>1009</v>
      </c>
      <c r="AL83" s="10">
        <v>0.2</v>
      </c>
      <c r="AM83" s="13">
        <f t="shared" si="46"/>
        <v>0.05</v>
      </c>
      <c r="AN83" s="13">
        <f t="shared" si="47"/>
        <v>0.21500000000000002</v>
      </c>
      <c r="AO83" t="s">
        <v>1009</v>
      </c>
      <c r="AP83" s="10">
        <v>0.2</v>
      </c>
      <c r="AQ83" s="13">
        <f t="shared" si="48"/>
        <v>0.05</v>
      </c>
      <c r="AR83" s="13">
        <f t="shared" si="49"/>
        <v>0.21000000000000002</v>
      </c>
      <c r="AS83" t="s">
        <v>1009</v>
      </c>
      <c r="AT83" t="str">
        <f t="shared" si="50"/>
        <v>ENERO: -Informe cualitativo con reporte de las personas caracterizadas mensualmente. FEBRERO: -Informe cualitativo con reporte de las personas caracterizadas mensualmente. MARZO: -Informe cualitativo con reporte de las personas caracterizadas mensualmente. ABRIL: -Informe cualitativo con reporte de las personas caracterizadas mensualmente. MAYO: -Informe cualitativo con reporte de las personas caracterizadas mensualmente.</v>
      </c>
      <c r="AU83" s="14">
        <f t="shared" si="51"/>
        <v>1</v>
      </c>
      <c r="AV83" s="13">
        <f t="shared" si="52"/>
        <v>0.25</v>
      </c>
      <c r="AW83" s="13">
        <f t="shared" si="53"/>
        <v>1</v>
      </c>
      <c r="AX83" t="s">
        <v>1008</v>
      </c>
      <c r="AY83" t="s">
        <v>1010</v>
      </c>
      <c r="AZ83" t="s">
        <v>1011</v>
      </c>
      <c r="BD83" t="str">
        <f t="shared" si="54"/>
        <v>Articular la oferta de las entidades que tienen presencia en los CLAVGarantizar la operación y normal funcionamiento de los Centros Locales de Atención - CLAV y puntos de operaciónOperar el sistema de referencia y contra referencia de los servicios prestados en el  marco de los PIA</v>
      </c>
      <c r="BE83" t="e">
        <f>+VLOOKUP($N83,P1081_3,MATCH(BE$3,PAAC!#REF!,0),0)</f>
        <v>#NAME?</v>
      </c>
      <c r="BF83" t="e">
        <f>+VLOOKUP($N83,P1081_3,MATCH(BF$3,PAAC!#REF!,0),0)</f>
        <v>#NAME?</v>
      </c>
      <c r="BG83" t="e">
        <f>+VLOOKUP($N83,P1081_3,MATCH(BG$3,PAAC!#REF!,0),0)</f>
        <v>#NAME?</v>
      </c>
      <c r="BH83" t="e">
        <f>+VLOOKUP($N83,P1081_3,MATCH(BH$3,PAAC!#REF!,0),0)</f>
        <v>#NAME?</v>
      </c>
      <c r="BI83" t="e">
        <f>+VLOOKUP($N83,P1081_3,MATCH(BI$3,PAAC!#REF!,0),0)</f>
        <v>#NAME?</v>
      </c>
      <c r="BJ83" t="str">
        <f t="shared" si="55"/>
        <v/>
      </c>
    </row>
    <row r="84" spans="1:62" x14ac:dyDescent="0.3">
      <c r="A84">
        <v>168</v>
      </c>
      <c r="B84">
        <v>1156</v>
      </c>
      <c r="C84" t="s">
        <v>149</v>
      </c>
      <c r="D84">
        <v>3</v>
      </c>
      <c r="E84" t="s">
        <v>1003</v>
      </c>
      <c r="F84" t="s">
        <v>952</v>
      </c>
      <c r="G84" t="s">
        <v>953</v>
      </c>
      <c r="H84" t="s">
        <v>146</v>
      </c>
      <c r="I84" t="s">
        <v>1004</v>
      </c>
      <c r="J84" t="s">
        <v>1005</v>
      </c>
      <c r="K84" t="s">
        <v>1006</v>
      </c>
      <c r="L84" t="s">
        <v>638</v>
      </c>
      <c r="M84" t="s">
        <v>639</v>
      </c>
      <c r="N84" t="str">
        <f t="shared" si="38"/>
        <v>168_2</v>
      </c>
      <c r="O84">
        <v>5676</v>
      </c>
      <c r="P84" s="13">
        <v>1</v>
      </c>
      <c r="Q84">
        <v>2</v>
      </c>
      <c r="R84" t="s">
        <v>1012</v>
      </c>
      <c r="S84" t="s">
        <v>1010</v>
      </c>
      <c r="T84" t="s">
        <v>959</v>
      </c>
      <c r="U84" s="13">
        <v>0.05</v>
      </c>
      <c r="V84" s="13">
        <f t="shared" si="39"/>
        <v>0.2</v>
      </c>
      <c r="W84" s="13">
        <f t="shared" si="56"/>
        <v>0.25</v>
      </c>
      <c r="X84" s="9">
        <v>43831</v>
      </c>
      <c r="Y84" s="9">
        <v>43982</v>
      </c>
      <c r="Z84" s="10">
        <v>0.2</v>
      </c>
      <c r="AA84" s="13">
        <f t="shared" si="40"/>
        <v>0.05</v>
      </c>
      <c r="AB84" s="13">
        <f t="shared" si="41"/>
        <v>0.18</v>
      </c>
      <c r="AC84" t="s">
        <v>1009</v>
      </c>
      <c r="AD84" s="10">
        <v>0.2</v>
      </c>
      <c r="AE84" s="13">
        <f t="shared" si="42"/>
        <v>0.05</v>
      </c>
      <c r="AF84" s="13">
        <f t="shared" si="43"/>
        <v>0.185</v>
      </c>
      <c r="AG84" t="s">
        <v>1009</v>
      </c>
      <c r="AH84" s="10">
        <v>0.2</v>
      </c>
      <c r="AI84" s="13">
        <f t="shared" si="44"/>
        <v>0.05</v>
      </c>
      <c r="AJ84" s="13">
        <f t="shared" si="45"/>
        <v>0.21000000000000002</v>
      </c>
      <c r="AK84" t="s">
        <v>1009</v>
      </c>
      <c r="AL84" s="10">
        <v>0.2</v>
      </c>
      <c r="AM84" s="13">
        <f t="shared" si="46"/>
        <v>0.05</v>
      </c>
      <c r="AN84" s="13">
        <f t="shared" si="47"/>
        <v>0.21500000000000002</v>
      </c>
      <c r="AO84" t="s">
        <v>1009</v>
      </c>
      <c r="AP84" s="10">
        <v>0.2</v>
      </c>
      <c r="AQ84" s="13">
        <f t="shared" si="48"/>
        <v>0.05</v>
      </c>
      <c r="AR84" s="13">
        <f t="shared" si="49"/>
        <v>0.21000000000000002</v>
      </c>
      <c r="AS84" t="s">
        <v>1009</v>
      </c>
      <c r="AT84" t="str">
        <f t="shared" si="50"/>
        <v>ENERO: -Informe cualitativo con reporte de las personas caracterizadas mensualmente. FEBRERO: -Informe cualitativo con reporte de las personas caracterizadas mensualmente. MARZO: -Informe cualitativo con reporte de las personas caracterizadas mensualmente. ABRIL: -Informe cualitativo con reporte de las personas caracterizadas mensualmente. MAYO: -Informe cualitativo con reporte de las personas caracterizadas mensualmente.</v>
      </c>
      <c r="AU84" s="14">
        <f t="shared" si="51"/>
        <v>1</v>
      </c>
      <c r="AV84" s="13">
        <f t="shared" si="52"/>
        <v>0.25</v>
      </c>
      <c r="AW84" s="13">
        <f t="shared" si="53"/>
        <v>1</v>
      </c>
      <c r="AX84" t="s">
        <v>1008</v>
      </c>
      <c r="AY84" t="s">
        <v>1010</v>
      </c>
      <c r="AZ84" t="s">
        <v>1011</v>
      </c>
      <c r="BD84" t="str">
        <f t="shared" si="54"/>
        <v>Articular la oferta de las entidades que tienen presencia en los CLAVGarantizar la operación y normal funcionamiento de los Centros Locales de Atención - CLAV y puntos de operaciónOperar el sistema de referencia y contra referencia de los servicios prestados en el  marco de los PIA</v>
      </c>
      <c r="BE84" t="e">
        <f>+VLOOKUP($N84,P1081_3,MATCH(BE$3,PAAC!#REF!,0),0)</f>
        <v>#NAME?</v>
      </c>
      <c r="BF84" t="e">
        <f>+VLOOKUP($N84,P1081_3,MATCH(BF$3,PAAC!#REF!,0),0)</f>
        <v>#NAME?</v>
      </c>
      <c r="BG84" t="e">
        <f>+VLOOKUP($N84,P1081_3,MATCH(BG$3,PAAC!#REF!,0),0)</f>
        <v>#NAME?</v>
      </c>
      <c r="BH84" t="e">
        <f>+VLOOKUP($N84,P1081_3,MATCH(BH$3,PAAC!#REF!,0),0)</f>
        <v>#NAME?</v>
      </c>
      <c r="BI84" t="e">
        <f>+VLOOKUP($N84,P1081_3,MATCH(BI$3,PAAC!#REF!,0),0)</f>
        <v>#NAME?</v>
      </c>
      <c r="BJ84" t="str">
        <f t="shared" si="55"/>
        <v/>
      </c>
    </row>
    <row r="85" spans="1:62" x14ac:dyDescent="0.3">
      <c r="A85">
        <v>168</v>
      </c>
      <c r="B85">
        <v>1156</v>
      </c>
      <c r="C85" t="s">
        <v>149</v>
      </c>
      <c r="D85">
        <v>3</v>
      </c>
      <c r="E85" t="s">
        <v>1003</v>
      </c>
      <c r="F85" t="s">
        <v>952</v>
      </c>
      <c r="G85" t="s">
        <v>953</v>
      </c>
      <c r="H85" t="s">
        <v>146</v>
      </c>
      <c r="I85" t="s">
        <v>1004</v>
      </c>
      <c r="J85" t="s">
        <v>1005</v>
      </c>
      <c r="K85" t="s">
        <v>1006</v>
      </c>
      <c r="L85" t="s">
        <v>638</v>
      </c>
      <c r="M85" t="s">
        <v>639</v>
      </c>
      <c r="N85" t="str">
        <f t="shared" si="38"/>
        <v>168_3</v>
      </c>
      <c r="O85">
        <v>5676</v>
      </c>
      <c r="P85" s="13">
        <v>1</v>
      </c>
      <c r="Q85">
        <v>3</v>
      </c>
      <c r="R85" t="s">
        <v>1013</v>
      </c>
      <c r="S85" t="s">
        <v>1011</v>
      </c>
      <c r="T85" t="s">
        <v>959</v>
      </c>
      <c r="U85" s="13">
        <v>0.1</v>
      </c>
      <c r="V85" s="13">
        <f t="shared" si="39"/>
        <v>0.2</v>
      </c>
      <c r="W85" s="13">
        <f t="shared" si="56"/>
        <v>0.5</v>
      </c>
      <c r="X85" s="9">
        <v>43831</v>
      </c>
      <c r="Y85" s="9">
        <v>43982</v>
      </c>
      <c r="Z85" s="10">
        <v>0.16</v>
      </c>
      <c r="AA85" s="13">
        <f t="shared" si="40"/>
        <v>0.08</v>
      </c>
      <c r="AB85" s="13">
        <f t="shared" si="41"/>
        <v>0.18</v>
      </c>
      <c r="AC85" t="s">
        <v>1009</v>
      </c>
      <c r="AD85" s="10">
        <v>0.17</v>
      </c>
      <c r="AE85" s="13">
        <f t="shared" si="42"/>
        <v>8.5000000000000006E-2</v>
      </c>
      <c r="AF85" s="13">
        <f t="shared" si="43"/>
        <v>0.185</v>
      </c>
      <c r="AG85" t="s">
        <v>1009</v>
      </c>
      <c r="AH85" s="10">
        <v>0.22</v>
      </c>
      <c r="AI85" s="13">
        <f t="shared" si="44"/>
        <v>0.11</v>
      </c>
      <c r="AJ85" s="13">
        <f t="shared" si="45"/>
        <v>0.21000000000000002</v>
      </c>
      <c r="AK85" t="s">
        <v>1009</v>
      </c>
      <c r="AL85" s="10">
        <v>0.23</v>
      </c>
      <c r="AM85" s="13">
        <f t="shared" si="46"/>
        <v>0.115</v>
      </c>
      <c r="AN85" s="13">
        <f t="shared" si="47"/>
        <v>0.21500000000000002</v>
      </c>
      <c r="AO85" t="s">
        <v>1009</v>
      </c>
      <c r="AP85" s="10">
        <v>0.22</v>
      </c>
      <c r="AQ85" s="13">
        <f t="shared" si="48"/>
        <v>0.11</v>
      </c>
      <c r="AR85" s="13">
        <f t="shared" si="49"/>
        <v>0.21000000000000002</v>
      </c>
      <c r="AS85" t="s">
        <v>1009</v>
      </c>
      <c r="AT85" t="str">
        <f t="shared" si="50"/>
        <v>ENERO: -Informe cualitativo con reporte de las personas caracterizadas mensualmente. FEBRERO: -Informe cualitativo con reporte de las personas caracterizadas mensualmente. MARZO: -Informe cualitativo con reporte de las personas caracterizadas mensualmente. ABRIL: -Informe cualitativo con reporte de las personas caracterizadas mensualmente. MAYO: -Informe cualitativo con reporte de las personas caracterizadas mensualmente.</v>
      </c>
      <c r="AU85" s="14">
        <f t="shared" si="51"/>
        <v>1</v>
      </c>
      <c r="AV85" s="13">
        <f t="shared" si="52"/>
        <v>0.5</v>
      </c>
      <c r="AW85" s="13">
        <f t="shared" si="53"/>
        <v>1</v>
      </c>
      <c r="AX85" t="s">
        <v>1008</v>
      </c>
      <c r="AY85" t="s">
        <v>1010</v>
      </c>
      <c r="AZ85" t="s">
        <v>1011</v>
      </c>
      <c r="BD85" t="str">
        <f t="shared" si="54"/>
        <v>Articular la oferta de las entidades que tienen presencia en los CLAVGarantizar la operación y normal funcionamiento de los Centros Locales de Atención - CLAV y puntos de operaciónOperar el sistema de referencia y contra referencia de los servicios prestados en el  marco de los PIA</v>
      </c>
      <c r="BE85" t="e">
        <f>+VLOOKUP($N85,P1081_3,MATCH(BE$3,PAAC!#REF!,0),0)</f>
        <v>#NAME?</v>
      </c>
      <c r="BF85" t="e">
        <f>+VLOOKUP($N85,P1081_3,MATCH(BF$3,PAAC!#REF!,0),0)</f>
        <v>#NAME?</v>
      </c>
      <c r="BG85" t="e">
        <f>+VLOOKUP($N85,P1081_3,MATCH(BG$3,PAAC!#REF!,0),0)</f>
        <v>#NAME?</v>
      </c>
      <c r="BH85" t="e">
        <f>+VLOOKUP($N85,P1081_3,MATCH(BH$3,PAAC!#REF!,0),0)</f>
        <v>#NAME?</v>
      </c>
      <c r="BI85" t="e">
        <f>+VLOOKUP($N85,P1081_3,MATCH(BI$3,PAAC!#REF!,0),0)</f>
        <v>#NAME?</v>
      </c>
      <c r="BJ85" t="str">
        <f t="shared" si="55"/>
        <v/>
      </c>
    </row>
    <row r="86" spans="1:62" x14ac:dyDescent="0.3">
      <c r="A86">
        <v>222</v>
      </c>
      <c r="B86">
        <v>7546</v>
      </c>
      <c r="C86" t="s">
        <v>153</v>
      </c>
      <c r="D86">
        <v>3</v>
      </c>
      <c r="E86" t="s">
        <v>1014</v>
      </c>
      <c r="F86" t="s">
        <v>596</v>
      </c>
      <c r="G86" t="s">
        <v>894</v>
      </c>
      <c r="H86" t="s">
        <v>122</v>
      </c>
      <c r="I86">
        <v>0</v>
      </c>
      <c r="J86" t="s">
        <v>1015</v>
      </c>
      <c r="K86" t="s">
        <v>1016</v>
      </c>
      <c r="L86" t="s">
        <v>638</v>
      </c>
      <c r="M86">
        <v>0</v>
      </c>
      <c r="N86" t="str">
        <f t="shared" si="38"/>
        <v>222_1</v>
      </c>
      <c r="O86">
        <v>100</v>
      </c>
      <c r="P86" s="13"/>
      <c r="Q86">
        <v>1</v>
      </c>
      <c r="R86" t="s">
        <v>1017</v>
      </c>
      <c r="S86" t="s">
        <v>1018</v>
      </c>
      <c r="T86">
        <v>0</v>
      </c>
      <c r="U86" s="13">
        <v>0</v>
      </c>
      <c r="V86" s="13">
        <f t="shared" si="39"/>
        <v>0</v>
      </c>
      <c r="W86" s="13" t="str">
        <f t="shared" si="56"/>
        <v>N/A</v>
      </c>
      <c r="X86" s="9">
        <v>0</v>
      </c>
      <c r="Y86" s="9">
        <v>0</v>
      </c>
      <c r="Z86" s="10">
        <v>0</v>
      </c>
      <c r="AA86" s="13" t="e">
        <f t="shared" si="40"/>
        <v>#VALUE!</v>
      </c>
      <c r="AB86" s="13" t="e">
        <f t="shared" si="41"/>
        <v>#VALUE!</v>
      </c>
      <c r="AC86">
        <v>0</v>
      </c>
      <c r="AD86" s="10"/>
      <c r="AE86" s="13" t="e">
        <f t="shared" si="42"/>
        <v>#VALUE!</v>
      </c>
      <c r="AF86" s="13" t="e">
        <f t="shared" si="43"/>
        <v>#VALUE!</v>
      </c>
      <c r="AH86" s="10"/>
      <c r="AI86" s="13" t="e">
        <f t="shared" si="44"/>
        <v>#VALUE!</v>
      </c>
      <c r="AJ86" s="13" t="e">
        <f t="shared" si="45"/>
        <v>#VALUE!</v>
      </c>
      <c r="AL86" s="10"/>
      <c r="AM86" s="13" t="e">
        <f t="shared" si="46"/>
        <v>#VALUE!</v>
      </c>
      <c r="AN86" s="13" t="e">
        <f t="shared" si="47"/>
        <v>#VALUE!</v>
      </c>
      <c r="AP86" s="10"/>
      <c r="AQ86" s="13" t="e">
        <f t="shared" si="48"/>
        <v>#VALUE!</v>
      </c>
      <c r="AR86" s="13" t="e">
        <f t="shared" si="49"/>
        <v>#VALUE!</v>
      </c>
      <c r="AT86" t="str">
        <f t="shared" si="50"/>
        <v xml:space="preserve">ENERO: 0 FEBRERO:  MARZO:  ABRIL:  MAYO: </v>
      </c>
      <c r="AU86" s="14"/>
      <c r="AV86" s="13" t="e">
        <f t="shared" si="52"/>
        <v>#VALUE!</v>
      </c>
      <c r="AW86" s="13" t="e">
        <f t="shared" si="53"/>
        <v>#VALUE!</v>
      </c>
      <c r="AX86" t="s">
        <v>1018</v>
      </c>
      <c r="BD86" t="str">
        <f t="shared" si="54"/>
        <v>Apoyar técnicamente el desarrollo de actividades dirigidas al fortalecimiento y modernizacion de la gestión pública distrital.</v>
      </c>
      <c r="BE86" t="e">
        <f>+VLOOKUP($N86,P1081_3,MATCH(BE$3,PAAC!#REF!,0),0)</f>
        <v>#NAME?</v>
      </c>
      <c r="BF86" t="e">
        <f>+VLOOKUP($N86,P1081_3,MATCH(BF$3,PAAC!#REF!,0),0)</f>
        <v>#NAME?</v>
      </c>
      <c r="BG86" t="e">
        <f>+VLOOKUP($N86,P1081_3,MATCH(BG$3,PAAC!#REF!,0),0)</f>
        <v>#NAME?</v>
      </c>
      <c r="BH86" t="e">
        <f>+VLOOKUP($N86,P1081_3,MATCH(BH$3,PAAC!#REF!,0),0)</f>
        <v>#NAME?</v>
      </c>
      <c r="BI86" t="e">
        <f>+VLOOKUP($N86,P1081_3,MATCH(BI$3,PAAC!#REF!,0),0)</f>
        <v>#NAME?</v>
      </c>
      <c r="BJ86" t="str">
        <f t="shared" si="55"/>
        <v/>
      </c>
    </row>
  </sheetData>
  <autoFilter ref="A3:BJ86" xr:uid="{00000000-0009-0000-0000-000004000000}">
    <sortState xmlns:xlrd2="http://schemas.microsoft.com/office/spreadsheetml/2017/richdata2" ref="A15:BJ45">
      <sortCondition ref="H3:H86"/>
    </sortState>
  </autoFilter>
  <phoneticPr fontId="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IG72"/>
  <sheetViews>
    <sheetView topLeftCell="GL1" zoomScale="130" zoomScaleNormal="130" workbookViewId="0">
      <pane ySplit="5" topLeftCell="A33" activePane="bottomLeft" state="frozen"/>
      <selection pane="bottomLeft" activeCell="GX36" sqref="GX36"/>
    </sheetView>
  </sheetViews>
  <sheetFormatPr baseColWidth="10" defaultColWidth="11.44140625" defaultRowHeight="14.4" x14ac:dyDescent="0.3"/>
  <cols>
    <col min="1" max="9" width="11.5546875" style="135" bestFit="1" customWidth="1"/>
    <col min="10" max="10" width="27.5546875" style="135" customWidth="1"/>
    <col min="11" max="11" width="16.6640625" style="135" customWidth="1"/>
    <col min="12" max="33" width="11.5546875" style="135" bestFit="1" customWidth="1"/>
    <col min="34" max="34" width="19.33203125" style="135" customWidth="1"/>
    <col min="35" max="35" width="14.88671875" style="135" customWidth="1"/>
    <col min="36" max="36" width="15.44140625" style="135" customWidth="1"/>
    <col min="37" max="37" width="16.44140625" style="135" customWidth="1"/>
    <col min="38" max="62" width="11.5546875" style="135" bestFit="1" customWidth="1"/>
    <col min="63" max="63" width="16.88671875" style="135" bestFit="1" customWidth="1"/>
    <col min="64" max="67" width="16.6640625" style="135" bestFit="1" customWidth="1"/>
    <col min="68" max="68" width="17.6640625" style="135" bestFit="1" customWidth="1"/>
    <col min="69" max="72" width="16.6640625" style="135" bestFit="1" customWidth="1"/>
    <col min="73" max="73" width="11.88671875" style="135" bestFit="1" customWidth="1"/>
    <col min="74" max="74" width="17.6640625" style="135" bestFit="1" customWidth="1"/>
    <col min="75" max="105" width="11.5546875" style="135" bestFit="1" customWidth="1"/>
    <col min="106" max="106" width="42.6640625" style="135" customWidth="1"/>
    <col min="107" max="112" width="11.5546875" style="135" bestFit="1" customWidth="1"/>
    <col min="113" max="113" width="14.6640625" style="135" customWidth="1"/>
    <col min="114" max="114" width="16.6640625" style="135" customWidth="1"/>
    <col min="115" max="115" width="15.88671875" style="135" customWidth="1"/>
    <col min="116" max="116" width="17.6640625" style="135" customWidth="1"/>
    <col min="117" max="118" width="18.33203125" style="135" customWidth="1"/>
    <col min="119" max="123" width="11.5546875" style="135" bestFit="1" customWidth="1"/>
    <col min="124" max="124" width="11.5546875" style="135" customWidth="1"/>
    <col min="125" max="150" width="11.5546875" style="135" bestFit="1" customWidth="1"/>
    <col min="151" max="155" width="11.5546875" style="135" customWidth="1"/>
    <col min="156" max="157" width="11.5546875" style="135" bestFit="1" customWidth="1"/>
    <col min="158" max="167" width="11.5546875" style="135" customWidth="1"/>
    <col min="168" max="168" width="12.33203125" style="135" customWidth="1"/>
    <col min="169" max="182" width="11.5546875" style="135" customWidth="1"/>
    <col min="183" max="183" width="12.33203125" style="135" customWidth="1"/>
    <col min="184" max="187" width="11.5546875" style="135" customWidth="1"/>
    <col min="188" max="198" width="11.5546875" style="135" bestFit="1" customWidth="1"/>
    <col min="199" max="199" width="11.5546875" style="135" customWidth="1"/>
    <col min="200" max="205" width="11.5546875" style="135" bestFit="1" customWidth="1"/>
    <col min="206" max="206" width="11.5546875" style="135" customWidth="1"/>
    <col min="207" max="210" width="11.5546875" style="135" bestFit="1" customWidth="1"/>
    <col min="211" max="232" width="11.5546875" style="135" customWidth="1"/>
    <col min="233" max="241" width="11.5546875" style="135" bestFit="1" customWidth="1"/>
    <col min="242" max="16384" width="11.44140625" style="135"/>
  </cols>
  <sheetData>
    <row r="1" spans="1:241" x14ac:dyDescent="0.3">
      <c r="AN1" s="135">
        <v>5</v>
      </c>
      <c r="AO1" s="135">
        <f>+AN1+3</f>
        <v>8</v>
      </c>
      <c r="AP1" s="135">
        <f>+AO1+3</f>
        <v>11</v>
      </c>
      <c r="AQ1" s="135">
        <f>+AP1+3</f>
        <v>14</v>
      </c>
      <c r="AR1" s="135">
        <f>+AQ1+3</f>
        <v>17</v>
      </c>
      <c r="AS1" s="135">
        <f>+AR1+3</f>
        <v>20</v>
      </c>
      <c r="AT1" s="135">
        <v>5</v>
      </c>
      <c r="AU1" s="135">
        <f>+AT1+3</f>
        <v>8</v>
      </c>
      <c r="AV1" s="135">
        <f>+AU1+3</f>
        <v>11</v>
      </c>
      <c r="AW1" s="135">
        <f>+AV1+3</f>
        <v>14</v>
      </c>
      <c r="AX1" s="135">
        <f>+AW1+3</f>
        <v>17</v>
      </c>
      <c r="AY1" s="135">
        <f>+AX1+3</f>
        <v>20</v>
      </c>
      <c r="AZ1" s="135">
        <v>6</v>
      </c>
      <c r="BA1" s="135">
        <f t="shared" ref="BA1:BV1" si="0">+AZ1+3</f>
        <v>9</v>
      </c>
      <c r="BB1" s="135">
        <f t="shared" si="0"/>
        <v>12</v>
      </c>
      <c r="BC1" s="135">
        <f t="shared" si="0"/>
        <v>15</v>
      </c>
      <c r="BD1" s="135">
        <f t="shared" si="0"/>
        <v>18</v>
      </c>
      <c r="BE1" s="135">
        <f t="shared" si="0"/>
        <v>21</v>
      </c>
      <c r="BF1" s="135">
        <v>7</v>
      </c>
      <c r="BG1" s="135">
        <f t="shared" si="0"/>
        <v>10</v>
      </c>
      <c r="BH1" s="135">
        <f t="shared" si="0"/>
        <v>13</v>
      </c>
      <c r="BI1" s="135">
        <f t="shared" si="0"/>
        <v>16</v>
      </c>
      <c r="BJ1" s="135">
        <f t="shared" si="0"/>
        <v>19</v>
      </c>
      <c r="BK1" s="135">
        <v>23</v>
      </c>
      <c r="BL1" s="135">
        <f t="shared" si="0"/>
        <v>26</v>
      </c>
      <c r="BM1" s="135">
        <f t="shared" si="0"/>
        <v>29</v>
      </c>
      <c r="BN1" s="135">
        <f t="shared" si="0"/>
        <v>32</v>
      </c>
      <c r="BO1" s="135">
        <f t="shared" si="0"/>
        <v>35</v>
      </c>
      <c r="BP1" s="135">
        <f t="shared" si="0"/>
        <v>38</v>
      </c>
      <c r="BQ1" s="135">
        <v>24</v>
      </c>
      <c r="BR1" s="135">
        <f t="shared" si="0"/>
        <v>27</v>
      </c>
      <c r="BS1" s="135">
        <f t="shared" si="0"/>
        <v>30</v>
      </c>
      <c r="BT1" s="135">
        <f t="shared" si="0"/>
        <v>33</v>
      </c>
      <c r="BU1" s="135">
        <f t="shared" si="0"/>
        <v>36</v>
      </c>
      <c r="BV1" s="135">
        <f t="shared" si="0"/>
        <v>39</v>
      </c>
    </row>
    <row r="2" spans="1:241" x14ac:dyDescent="0.3">
      <c r="GL2" s="135" t="s">
        <v>431</v>
      </c>
      <c r="GM2" s="135" t="s">
        <v>436</v>
      </c>
      <c r="GN2" s="135" t="s">
        <v>441</v>
      </c>
      <c r="GO2" s="135" t="s">
        <v>446</v>
      </c>
      <c r="GP2" s="135" t="s">
        <v>451</v>
      </c>
      <c r="GQ2" s="135" t="s">
        <v>456</v>
      </c>
      <c r="GX2" s="10"/>
    </row>
    <row r="3" spans="1:241" x14ac:dyDescent="0.3">
      <c r="GL3" s="135" t="s">
        <v>430</v>
      </c>
      <c r="GM3" s="135" t="s">
        <v>435</v>
      </c>
      <c r="GN3" s="135" t="s">
        <v>440</v>
      </c>
      <c r="GO3" s="135" t="s">
        <v>445</v>
      </c>
      <c r="GP3" s="135" t="s">
        <v>450</v>
      </c>
      <c r="GQ3" s="135" t="s">
        <v>455</v>
      </c>
    </row>
    <row r="4" spans="1:241" x14ac:dyDescent="0.3">
      <c r="A4" s="135">
        <v>1</v>
      </c>
      <c r="B4" s="135">
        <v>2</v>
      </c>
      <c r="C4" s="135">
        <v>3</v>
      </c>
      <c r="D4" s="135">
        <v>4</v>
      </c>
      <c r="E4" s="135">
        <v>5</v>
      </c>
      <c r="F4" s="136">
        <v>6</v>
      </c>
      <c r="G4" s="135">
        <v>7</v>
      </c>
      <c r="H4" s="135">
        <v>8</v>
      </c>
      <c r="I4" s="135">
        <v>9</v>
      </c>
      <c r="J4" s="135">
        <v>10</v>
      </c>
      <c r="K4" s="135">
        <v>11</v>
      </c>
      <c r="L4" s="135">
        <v>12</v>
      </c>
      <c r="M4" s="135">
        <v>13</v>
      </c>
      <c r="N4" s="135">
        <v>14</v>
      </c>
      <c r="O4" s="135">
        <v>15</v>
      </c>
      <c r="P4" s="135">
        <v>16</v>
      </c>
      <c r="Q4" s="135">
        <v>17</v>
      </c>
      <c r="R4" s="135">
        <v>18</v>
      </c>
      <c r="S4" s="135">
        <v>19</v>
      </c>
      <c r="T4" s="135">
        <v>20</v>
      </c>
      <c r="U4" s="135">
        <v>21</v>
      </c>
      <c r="V4" s="135">
        <v>22</v>
      </c>
      <c r="W4" s="135">
        <v>23</v>
      </c>
      <c r="X4" s="135">
        <v>24</v>
      </c>
      <c r="Y4" s="135">
        <v>25</v>
      </c>
      <c r="Z4" s="135">
        <v>26</v>
      </c>
      <c r="AA4" s="135">
        <v>27</v>
      </c>
      <c r="AB4" s="135">
        <v>28</v>
      </c>
      <c r="AC4" s="135">
        <v>29</v>
      </c>
      <c r="AD4" s="135">
        <v>30</v>
      </c>
      <c r="AE4" s="135">
        <v>31</v>
      </c>
      <c r="AF4" s="135">
        <v>32</v>
      </c>
      <c r="AG4" s="135">
        <v>33</v>
      </c>
      <c r="AH4" s="135">
        <v>34</v>
      </c>
      <c r="AI4" s="135">
        <v>35</v>
      </c>
      <c r="AJ4" s="135">
        <v>36</v>
      </c>
      <c r="AK4" s="135">
        <v>37</v>
      </c>
      <c r="AL4" s="135">
        <v>38</v>
      </c>
      <c r="AM4" s="135">
        <v>39</v>
      </c>
      <c r="AN4" s="135">
        <v>40</v>
      </c>
      <c r="AO4" s="135">
        <v>41</v>
      </c>
      <c r="AP4" s="135">
        <v>42</v>
      </c>
      <c r="AQ4" s="135">
        <v>43</v>
      </c>
      <c r="AR4" s="135">
        <v>44</v>
      </c>
      <c r="AS4" s="135">
        <v>45</v>
      </c>
      <c r="AT4" s="136">
        <v>46</v>
      </c>
      <c r="AU4" s="136">
        <v>47</v>
      </c>
      <c r="AV4" s="136">
        <v>48</v>
      </c>
      <c r="AW4" s="136">
        <v>49</v>
      </c>
      <c r="AX4" s="136">
        <v>50</v>
      </c>
      <c r="AY4" s="136">
        <v>51</v>
      </c>
      <c r="AZ4" s="136">
        <v>52</v>
      </c>
      <c r="BA4" s="136">
        <v>53</v>
      </c>
      <c r="BB4" s="136">
        <v>54</v>
      </c>
      <c r="BC4" s="136">
        <v>55</v>
      </c>
      <c r="BD4" s="136">
        <v>56</v>
      </c>
      <c r="BE4" s="136">
        <v>57</v>
      </c>
      <c r="BF4" s="136">
        <v>58</v>
      </c>
      <c r="BG4" s="136">
        <v>59</v>
      </c>
      <c r="BH4" s="136">
        <v>60</v>
      </c>
      <c r="BI4" s="136">
        <v>61</v>
      </c>
      <c r="BJ4" s="136">
        <v>62</v>
      </c>
      <c r="BK4" s="135">
        <v>63</v>
      </c>
      <c r="BL4" s="135">
        <v>64</v>
      </c>
      <c r="BM4" s="135">
        <v>65</v>
      </c>
      <c r="BN4" s="135">
        <v>66</v>
      </c>
      <c r="BO4" s="135">
        <v>67</v>
      </c>
      <c r="BP4" s="135">
        <v>68</v>
      </c>
      <c r="BQ4" s="135">
        <v>69</v>
      </c>
      <c r="BR4" s="135">
        <v>70</v>
      </c>
      <c r="BS4" s="135">
        <v>71</v>
      </c>
      <c r="BT4" s="135">
        <v>72</v>
      </c>
      <c r="BU4" s="135">
        <v>73</v>
      </c>
      <c r="BV4" s="135">
        <v>74</v>
      </c>
      <c r="BW4" s="135">
        <v>75</v>
      </c>
      <c r="BX4" s="135">
        <v>76</v>
      </c>
      <c r="BY4" s="135">
        <v>77</v>
      </c>
      <c r="BZ4" s="135">
        <v>78</v>
      </c>
      <c r="CA4" s="135">
        <v>79</v>
      </c>
      <c r="CB4" s="135">
        <v>80</v>
      </c>
      <c r="CC4" s="135">
        <v>81</v>
      </c>
      <c r="CD4" s="135">
        <v>82</v>
      </c>
      <c r="CE4" s="135">
        <v>83</v>
      </c>
      <c r="CF4" s="135">
        <v>84</v>
      </c>
      <c r="CG4" s="135">
        <v>85</v>
      </c>
      <c r="CH4" s="135">
        <v>86</v>
      </c>
      <c r="CI4" s="135">
        <v>87</v>
      </c>
      <c r="CJ4" s="135">
        <v>88</v>
      </c>
      <c r="CK4" s="135">
        <v>89</v>
      </c>
      <c r="CL4" s="135">
        <v>90</v>
      </c>
      <c r="CM4" s="135">
        <v>91</v>
      </c>
      <c r="CN4" s="135">
        <v>92</v>
      </c>
      <c r="CO4" s="135">
        <v>93</v>
      </c>
      <c r="CP4" s="135">
        <v>94</v>
      </c>
      <c r="CQ4" s="135">
        <v>95</v>
      </c>
      <c r="CR4" s="135">
        <v>96</v>
      </c>
      <c r="CS4" s="135">
        <v>97</v>
      </c>
      <c r="CT4" s="135">
        <v>98</v>
      </c>
      <c r="CU4" s="135">
        <v>99</v>
      </c>
      <c r="CV4" s="135">
        <v>100</v>
      </c>
      <c r="CW4" s="135">
        <v>101</v>
      </c>
      <c r="CX4" s="135">
        <v>102</v>
      </c>
      <c r="CY4" s="135">
        <v>103</v>
      </c>
      <c r="CZ4" s="135">
        <v>104</v>
      </c>
      <c r="DA4" s="135">
        <v>105</v>
      </c>
      <c r="DB4" s="135">
        <v>106</v>
      </c>
      <c r="DC4" s="135">
        <v>107</v>
      </c>
      <c r="DD4" s="135">
        <v>108</v>
      </c>
      <c r="DE4" s="135">
        <v>109</v>
      </c>
      <c r="DF4" s="135">
        <v>110</v>
      </c>
      <c r="DG4" s="135">
        <v>111</v>
      </c>
      <c r="DH4" s="135">
        <v>112</v>
      </c>
      <c r="DI4" s="135">
        <v>113</v>
      </c>
      <c r="DJ4" s="135">
        <v>114</v>
      </c>
      <c r="DK4" s="135">
        <v>115</v>
      </c>
      <c r="DL4" s="135">
        <v>116</v>
      </c>
      <c r="DM4" s="135">
        <v>117</v>
      </c>
      <c r="DO4" s="135">
        <v>118</v>
      </c>
      <c r="DP4" s="135">
        <v>119</v>
      </c>
      <c r="DQ4" s="135">
        <v>120</v>
      </c>
      <c r="DR4" s="135">
        <v>121</v>
      </c>
      <c r="DS4" s="135">
        <v>122</v>
      </c>
      <c r="DU4" s="135">
        <v>123</v>
      </c>
      <c r="DV4" s="135">
        <v>124</v>
      </c>
      <c r="DW4" s="135">
        <v>125</v>
      </c>
      <c r="DX4" s="135">
        <v>126</v>
      </c>
      <c r="DY4" s="135">
        <v>127</v>
      </c>
      <c r="DZ4" s="135">
        <v>128</v>
      </c>
      <c r="EA4" s="135">
        <v>129</v>
      </c>
      <c r="EB4" s="135">
        <v>130</v>
      </c>
      <c r="EC4" s="135">
        <v>131</v>
      </c>
      <c r="ED4" s="135">
        <v>132</v>
      </c>
      <c r="EE4" s="135">
        <v>133</v>
      </c>
      <c r="EF4" s="135">
        <v>134</v>
      </c>
      <c r="EG4" s="135">
        <v>135</v>
      </c>
      <c r="EH4" s="135">
        <v>136</v>
      </c>
      <c r="EI4" s="135">
        <v>137</v>
      </c>
      <c r="EJ4" s="135">
        <v>138</v>
      </c>
      <c r="EK4" s="135">
        <v>139</v>
      </c>
      <c r="EL4" s="135">
        <v>140</v>
      </c>
      <c r="EM4" s="135">
        <v>141</v>
      </c>
      <c r="EN4" s="135">
        <v>142</v>
      </c>
      <c r="EO4" s="135">
        <v>143</v>
      </c>
      <c r="EP4" s="135">
        <v>144</v>
      </c>
      <c r="EQ4" s="135">
        <v>145</v>
      </c>
      <c r="ER4" s="135">
        <v>146</v>
      </c>
      <c r="ES4" s="135">
        <v>147</v>
      </c>
      <c r="ET4" s="135">
        <v>148</v>
      </c>
      <c r="EZ4" s="135">
        <v>149</v>
      </c>
      <c r="FA4" s="135">
        <v>150</v>
      </c>
      <c r="FB4" s="135">
        <v>151</v>
      </c>
      <c r="FC4" s="135">
        <v>152</v>
      </c>
      <c r="FD4" s="135">
        <v>153</v>
      </c>
      <c r="FE4" s="135">
        <v>154</v>
      </c>
      <c r="FF4" s="135">
        <v>155</v>
      </c>
      <c r="FG4" s="135">
        <v>156</v>
      </c>
      <c r="FH4" s="135">
        <v>157</v>
      </c>
      <c r="FI4" s="135">
        <v>158</v>
      </c>
      <c r="FJ4" s="135">
        <v>159</v>
      </c>
      <c r="FK4" s="135">
        <v>160</v>
      </c>
      <c r="FL4" s="135">
        <v>161</v>
      </c>
      <c r="FM4" s="135">
        <v>162</v>
      </c>
      <c r="FN4" s="135">
        <v>163</v>
      </c>
      <c r="FO4" s="135">
        <v>164</v>
      </c>
      <c r="FP4" s="135">
        <v>165</v>
      </c>
      <c r="FQ4" s="135">
        <v>166</v>
      </c>
      <c r="FR4" s="135">
        <v>167</v>
      </c>
      <c r="FS4" s="135">
        <v>168</v>
      </c>
      <c r="FT4" s="135">
        <v>169</v>
      </c>
      <c r="FU4" s="135">
        <v>170</v>
      </c>
      <c r="FV4" s="135">
        <v>171</v>
      </c>
      <c r="FW4" s="135">
        <v>172</v>
      </c>
      <c r="FX4" s="135">
        <v>173</v>
      </c>
      <c r="FY4" s="135">
        <v>174</v>
      </c>
      <c r="FZ4" s="135">
        <v>175</v>
      </c>
      <c r="GA4" s="135">
        <v>176</v>
      </c>
      <c r="GB4" s="135">
        <v>177</v>
      </c>
      <c r="GC4" s="135">
        <v>178</v>
      </c>
      <c r="GD4" s="135">
        <v>179</v>
      </c>
      <c r="GE4" s="135">
        <v>180</v>
      </c>
      <c r="GF4" s="135">
        <v>181</v>
      </c>
      <c r="GG4" s="135">
        <v>182</v>
      </c>
      <c r="GH4" s="135">
        <v>183</v>
      </c>
      <c r="GI4" s="135">
        <v>184</v>
      </c>
      <c r="GJ4" s="135">
        <v>185</v>
      </c>
      <c r="GK4" s="135">
        <v>186</v>
      </c>
      <c r="GL4" s="135">
        <v>187</v>
      </c>
      <c r="GM4" s="135">
        <v>188</v>
      </c>
      <c r="GN4" s="135">
        <v>189</v>
      </c>
      <c r="GO4" s="135">
        <v>190</v>
      </c>
      <c r="GP4" s="135">
        <v>191</v>
      </c>
      <c r="GR4" s="135">
        <v>192</v>
      </c>
      <c r="GS4" s="135">
        <v>193</v>
      </c>
      <c r="GT4" s="135">
        <v>194</v>
      </c>
      <c r="GU4" s="135">
        <v>195</v>
      </c>
      <c r="GV4" s="135">
        <v>196</v>
      </c>
      <c r="GW4" s="135">
        <v>197</v>
      </c>
      <c r="HY4" s="135">
        <v>198</v>
      </c>
      <c r="HZ4" s="135">
        <v>199</v>
      </c>
      <c r="IA4" s="135">
        <v>200</v>
      </c>
      <c r="IB4" s="135">
        <v>201</v>
      </c>
      <c r="IC4" s="135">
        <v>202</v>
      </c>
      <c r="ID4" s="135">
        <v>203</v>
      </c>
      <c r="IE4" s="135">
        <v>204</v>
      </c>
      <c r="IF4" s="135">
        <v>205</v>
      </c>
      <c r="IG4" s="135">
        <v>206</v>
      </c>
    </row>
    <row r="5" spans="1:241" s="165" customFormat="1" ht="24.6" customHeight="1" x14ac:dyDescent="0.3">
      <c r="A5" s="137" t="s">
        <v>325</v>
      </c>
      <c r="B5" s="138" t="s">
        <v>535</v>
      </c>
      <c r="C5" s="138" t="s">
        <v>536</v>
      </c>
      <c r="D5" s="138" t="s">
        <v>537</v>
      </c>
      <c r="E5" s="138" t="s">
        <v>538</v>
      </c>
      <c r="F5" s="139" t="s">
        <v>1019</v>
      </c>
      <c r="G5" s="139" t="s">
        <v>539</v>
      </c>
      <c r="H5" s="139" t="s">
        <v>540</v>
      </c>
      <c r="I5" s="137" t="s">
        <v>1020</v>
      </c>
      <c r="J5" s="137" t="s">
        <v>326</v>
      </c>
      <c r="K5" s="140" t="s">
        <v>1021</v>
      </c>
      <c r="L5" s="137" t="s">
        <v>1022</v>
      </c>
      <c r="M5" s="137" t="s">
        <v>1023</v>
      </c>
      <c r="N5" s="137" t="s">
        <v>1024</v>
      </c>
      <c r="O5" s="137" t="s">
        <v>1025</v>
      </c>
      <c r="P5" s="141" t="s">
        <v>1026</v>
      </c>
      <c r="Q5" s="137" t="s">
        <v>541</v>
      </c>
      <c r="R5" s="137" t="s">
        <v>1027</v>
      </c>
      <c r="S5" s="137" t="s">
        <v>1028</v>
      </c>
      <c r="T5" s="137" t="s">
        <v>1029</v>
      </c>
      <c r="U5" s="137" t="s">
        <v>1030</v>
      </c>
      <c r="V5" s="137" t="s">
        <v>1031</v>
      </c>
      <c r="W5" s="141" t="s">
        <v>1032</v>
      </c>
      <c r="X5" s="139" t="s">
        <v>544</v>
      </c>
      <c r="Y5" s="137" t="s">
        <v>427</v>
      </c>
      <c r="Z5" s="137" t="s">
        <v>428</v>
      </c>
      <c r="AA5" s="137" t="s">
        <v>429</v>
      </c>
      <c r="AB5" s="137" t="s">
        <v>413</v>
      </c>
      <c r="AC5" s="137" t="s">
        <v>1033</v>
      </c>
      <c r="AD5" s="137" t="s">
        <v>1034</v>
      </c>
      <c r="AE5" s="137" t="s">
        <v>1035</v>
      </c>
      <c r="AF5" s="137" t="s">
        <v>1036</v>
      </c>
      <c r="AG5" s="137" t="s">
        <v>1037</v>
      </c>
      <c r="AH5" s="141" t="s">
        <v>1038</v>
      </c>
      <c r="AI5" s="141" t="s">
        <v>1039</v>
      </c>
      <c r="AJ5" s="141" t="s">
        <v>414</v>
      </c>
      <c r="AK5" s="142" t="s">
        <v>415</v>
      </c>
      <c r="AL5" s="141" t="s">
        <v>1040</v>
      </c>
      <c r="AM5" s="141" t="s">
        <v>1041</v>
      </c>
      <c r="AN5" s="139" t="s">
        <v>1042</v>
      </c>
      <c r="AO5" s="139" t="s">
        <v>1043</v>
      </c>
      <c r="AP5" s="139" t="s">
        <v>1044</v>
      </c>
      <c r="AQ5" s="139" t="s">
        <v>1045</v>
      </c>
      <c r="AR5" s="139" t="s">
        <v>1046</v>
      </c>
      <c r="AS5" s="139" t="s">
        <v>1047</v>
      </c>
      <c r="AT5" s="139" t="s">
        <v>1048</v>
      </c>
      <c r="AU5" s="139" t="s">
        <v>1049</v>
      </c>
      <c r="AV5" s="139" t="s">
        <v>1050</v>
      </c>
      <c r="AW5" s="139" t="s">
        <v>1051</v>
      </c>
      <c r="AX5" s="139" t="s">
        <v>425</v>
      </c>
      <c r="AY5" s="139" t="s">
        <v>1052</v>
      </c>
      <c r="AZ5" s="139" t="s">
        <v>1053</v>
      </c>
      <c r="BA5" s="139" t="s">
        <v>1054</v>
      </c>
      <c r="BB5" s="139" t="s">
        <v>1055</v>
      </c>
      <c r="BC5" s="139" t="s">
        <v>1056</v>
      </c>
      <c r="BD5" s="139" t="s">
        <v>1057</v>
      </c>
      <c r="BE5" s="139" t="s">
        <v>1058</v>
      </c>
      <c r="BF5" s="139" t="s">
        <v>1059</v>
      </c>
      <c r="BG5" s="139" t="s">
        <v>1060</v>
      </c>
      <c r="BH5" s="139" t="s">
        <v>1061</v>
      </c>
      <c r="BI5" s="139" t="s">
        <v>1062</v>
      </c>
      <c r="BJ5" s="139" t="s">
        <v>1063</v>
      </c>
      <c r="BK5" s="139" t="s">
        <v>1064</v>
      </c>
      <c r="BL5" s="139" t="s">
        <v>1065</v>
      </c>
      <c r="BM5" s="139" t="s">
        <v>1066</v>
      </c>
      <c r="BN5" s="139" t="s">
        <v>1067</v>
      </c>
      <c r="BO5" s="139" t="s">
        <v>1068</v>
      </c>
      <c r="BP5" s="139" t="s">
        <v>1069</v>
      </c>
      <c r="BQ5" s="139" t="s">
        <v>1070</v>
      </c>
      <c r="BR5" s="139" t="s">
        <v>1071</v>
      </c>
      <c r="BS5" s="139" t="s">
        <v>1072</v>
      </c>
      <c r="BT5" s="139" t="s">
        <v>1073</v>
      </c>
      <c r="BU5" s="139" t="s">
        <v>1074</v>
      </c>
      <c r="BV5" s="139" t="s">
        <v>1075</v>
      </c>
      <c r="BW5" s="143" t="s">
        <v>1076</v>
      </c>
      <c r="BX5" s="143" t="s">
        <v>1077</v>
      </c>
      <c r="BY5" s="143" t="s">
        <v>1078</v>
      </c>
      <c r="BZ5" s="143" t="s">
        <v>1079</v>
      </c>
      <c r="CA5" s="143" t="s">
        <v>1080</v>
      </c>
      <c r="CB5" s="143" t="s">
        <v>1081</v>
      </c>
      <c r="CC5" s="143" t="s">
        <v>536</v>
      </c>
      <c r="CD5" s="143" t="s">
        <v>1082</v>
      </c>
      <c r="CE5" s="143" t="s">
        <v>327</v>
      </c>
      <c r="CF5" s="143" t="s">
        <v>1083</v>
      </c>
      <c r="CG5" s="143" t="s">
        <v>1084</v>
      </c>
      <c r="CH5" s="143" t="s">
        <v>1085</v>
      </c>
      <c r="CI5" s="143" t="s">
        <v>1086</v>
      </c>
      <c r="CJ5" s="143" t="s">
        <v>1087</v>
      </c>
      <c r="CK5" s="143" t="s">
        <v>1088</v>
      </c>
      <c r="CL5" s="143" t="s">
        <v>1089</v>
      </c>
      <c r="CM5" s="144" t="s">
        <v>1090</v>
      </c>
      <c r="CN5" s="143" t="s">
        <v>1091</v>
      </c>
      <c r="CO5" s="143" t="s">
        <v>1092</v>
      </c>
      <c r="CP5" s="143" t="s">
        <v>1093</v>
      </c>
      <c r="CQ5" s="143" t="s">
        <v>1094</v>
      </c>
      <c r="CR5" s="143" t="s">
        <v>1095</v>
      </c>
      <c r="CS5" s="143" t="s">
        <v>1096</v>
      </c>
      <c r="CT5" s="143" t="s">
        <v>1097</v>
      </c>
      <c r="CU5" s="143" t="s">
        <v>1098</v>
      </c>
      <c r="CV5" s="143" t="s">
        <v>1099</v>
      </c>
      <c r="CW5" s="144" t="s">
        <v>1100</v>
      </c>
      <c r="CX5" s="143" t="s">
        <v>1101</v>
      </c>
      <c r="CY5" s="143" t="s">
        <v>1102</v>
      </c>
      <c r="CZ5" s="143" t="s">
        <v>1103</v>
      </c>
      <c r="DA5" s="143" t="s">
        <v>1104</v>
      </c>
      <c r="DB5" s="143" t="s">
        <v>1105</v>
      </c>
      <c r="DC5" s="160" t="s">
        <v>426</v>
      </c>
      <c r="DD5" s="160" t="s">
        <v>427</v>
      </c>
      <c r="DE5" s="160" t="s">
        <v>428</v>
      </c>
      <c r="DF5" s="160" t="s">
        <v>429</v>
      </c>
      <c r="DG5" s="160" t="s">
        <v>416</v>
      </c>
      <c r="DH5" s="160" t="s">
        <v>417</v>
      </c>
      <c r="DI5" s="161" t="s">
        <v>1106</v>
      </c>
      <c r="DJ5" s="161" t="s">
        <v>1107</v>
      </c>
      <c r="DK5" s="161" t="s">
        <v>1108</v>
      </c>
      <c r="DL5" s="161" t="s">
        <v>1109</v>
      </c>
      <c r="DM5" s="161" t="s">
        <v>1110</v>
      </c>
      <c r="DN5" s="161" t="s">
        <v>1111</v>
      </c>
      <c r="DO5" s="160" t="s">
        <v>419</v>
      </c>
      <c r="DP5" s="160" t="s">
        <v>420</v>
      </c>
      <c r="DQ5" s="160" t="s">
        <v>421</v>
      </c>
      <c r="DR5" s="160" t="s">
        <v>422</v>
      </c>
      <c r="DS5" s="160" t="s">
        <v>423</v>
      </c>
      <c r="DT5" s="160" t="s">
        <v>424</v>
      </c>
      <c r="DU5" s="161" t="s">
        <v>425</v>
      </c>
      <c r="DV5" s="160" t="s">
        <v>430</v>
      </c>
      <c r="DW5" s="160" t="s">
        <v>431</v>
      </c>
      <c r="DX5" s="160" t="s">
        <v>432</v>
      </c>
      <c r="DY5" s="160" t="s">
        <v>433</v>
      </c>
      <c r="DZ5" s="160" t="s">
        <v>434</v>
      </c>
      <c r="EA5" s="160" t="s">
        <v>435</v>
      </c>
      <c r="EB5" s="160" t="s">
        <v>436</v>
      </c>
      <c r="EC5" s="160" t="s">
        <v>437</v>
      </c>
      <c r="ED5" s="160" t="s">
        <v>438</v>
      </c>
      <c r="EE5" s="160" t="s">
        <v>439</v>
      </c>
      <c r="EF5" s="160" t="s">
        <v>440</v>
      </c>
      <c r="EG5" s="160" t="s">
        <v>441</v>
      </c>
      <c r="EH5" s="160" t="s">
        <v>442</v>
      </c>
      <c r="EI5" s="160" t="s">
        <v>443</v>
      </c>
      <c r="EJ5" s="160" t="s">
        <v>444</v>
      </c>
      <c r="EK5" s="160" t="s">
        <v>445</v>
      </c>
      <c r="EL5" s="160" t="s">
        <v>446</v>
      </c>
      <c r="EM5" s="160" t="s">
        <v>447</v>
      </c>
      <c r="EN5" s="160" t="s">
        <v>448</v>
      </c>
      <c r="EO5" s="160" t="s">
        <v>449</v>
      </c>
      <c r="EP5" s="160" t="s">
        <v>450</v>
      </c>
      <c r="EQ5" s="160" t="s">
        <v>451</v>
      </c>
      <c r="ER5" s="160" t="s">
        <v>452</v>
      </c>
      <c r="ES5" s="160" t="s">
        <v>453</v>
      </c>
      <c r="ET5" s="160" t="s">
        <v>454</v>
      </c>
      <c r="EU5" s="160" t="s">
        <v>455</v>
      </c>
      <c r="EV5" s="160" t="s">
        <v>456</v>
      </c>
      <c r="EW5" s="160" t="s">
        <v>457</v>
      </c>
      <c r="EX5" s="160" t="s">
        <v>458</v>
      </c>
      <c r="EY5" s="160" t="s">
        <v>459</v>
      </c>
      <c r="EZ5" s="160" t="s">
        <v>460</v>
      </c>
      <c r="FA5" s="160" t="s">
        <v>461</v>
      </c>
      <c r="FB5" s="162" t="s">
        <v>462</v>
      </c>
      <c r="FC5" s="162" t="s">
        <v>463</v>
      </c>
      <c r="FD5" s="162" t="s">
        <v>464</v>
      </c>
      <c r="FE5" s="162" t="s">
        <v>465</v>
      </c>
      <c r="FF5" s="162" t="s">
        <v>466</v>
      </c>
      <c r="FG5" s="162" t="s">
        <v>467</v>
      </c>
      <c r="FH5" s="162" t="s">
        <v>468</v>
      </c>
      <c r="FI5" s="162" t="s">
        <v>469</v>
      </c>
      <c r="FJ5" s="162" t="s">
        <v>470</v>
      </c>
      <c r="FK5" s="162" t="s">
        <v>471</v>
      </c>
      <c r="FL5" s="162" t="s">
        <v>472</v>
      </c>
      <c r="FM5" s="162" t="s">
        <v>473</v>
      </c>
      <c r="FN5" s="162" t="s">
        <v>474</v>
      </c>
      <c r="FO5" s="162" t="s">
        <v>475</v>
      </c>
      <c r="FP5" s="162" t="s">
        <v>476</v>
      </c>
      <c r="FQ5" s="162" t="s">
        <v>477</v>
      </c>
      <c r="FR5" s="162" t="s">
        <v>478</v>
      </c>
      <c r="FS5" s="162" t="s">
        <v>479</v>
      </c>
      <c r="FT5" s="162" t="s">
        <v>480</v>
      </c>
      <c r="FU5" s="162" t="s">
        <v>481</v>
      </c>
      <c r="FV5" s="162" t="s">
        <v>482</v>
      </c>
      <c r="FW5" s="162" t="s">
        <v>483</v>
      </c>
      <c r="FX5" s="162" t="s">
        <v>484</v>
      </c>
      <c r="FY5" s="162" t="s">
        <v>485</v>
      </c>
      <c r="FZ5" s="162" t="s">
        <v>486</v>
      </c>
      <c r="GA5" s="162" t="s">
        <v>487</v>
      </c>
      <c r="GB5" s="162" t="s">
        <v>488</v>
      </c>
      <c r="GC5" s="162" t="s">
        <v>489</v>
      </c>
      <c r="GD5" s="162" t="s">
        <v>490</v>
      </c>
      <c r="GE5" s="162" t="s">
        <v>491</v>
      </c>
      <c r="GF5" s="163" t="s">
        <v>1112</v>
      </c>
      <c r="GG5" s="163" t="s">
        <v>1113</v>
      </c>
      <c r="GH5" s="163" t="s">
        <v>1114</v>
      </c>
      <c r="GI5" s="163" t="s">
        <v>1115</v>
      </c>
      <c r="GJ5" s="163" t="s">
        <v>1116</v>
      </c>
      <c r="GK5" s="163" t="s">
        <v>1117</v>
      </c>
      <c r="GL5" s="163" t="s">
        <v>1118</v>
      </c>
      <c r="GM5" s="163" t="s">
        <v>1119</v>
      </c>
      <c r="GN5" s="163" t="s">
        <v>1120</v>
      </c>
      <c r="GO5" s="163" t="s">
        <v>1121</v>
      </c>
      <c r="GP5" s="163" t="s">
        <v>1122</v>
      </c>
      <c r="GQ5" s="163" t="s">
        <v>1123</v>
      </c>
      <c r="GR5" s="164" t="s">
        <v>1124</v>
      </c>
      <c r="GS5" s="163" t="s">
        <v>1125</v>
      </c>
      <c r="GT5" s="163" t="s">
        <v>1126</v>
      </c>
      <c r="GU5" s="163" t="s">
        <v>1127</v>
      </c>
      <c r="GV5" s="163" t="s">
        <v>1128</v>
      </c>
      <c r="GW5" s="163" t="s">
        <v>1129</v>
      </c>
      <c r="GX5" s="163" t="s">
        <v>1130</v>
      </c>
      <c r="GY5" s="160" t="s">
        <v>1131</v>
      </c>
      <c r="GZ5" s="160" t="s">
        <v>1132</v>
      </c>
      <c r="HA5" s="160" t="s">
        <v>1133</v>
      </c>
      <c r="HB5" s="160" t="s">
        <v>1134</v>
      </c>
      <c r="HC5" s="366" t="s">
        <v>492</v>
      </c>
      <c r="HD5" s="366" t="s">
        <v>493</v>
      </c>
      <c r="HE5" s="366" t="s">
        <v>494</v>
      </c>
      <c r="HF5" s="366" t="s">
        <v>495</v>
      </c>
      <c r="HG5" s="366" t="s">
        <v>496</v>
      </c>
      <c r="HH5" s="366" t="s">
        <v>497</v>
      </c>
      <c r="HI5" s="366" t="s">
        <v>498</v>
      </c>
      <c r="HJ5" s="366" t="s">
        <v>499</v>
      </c>
      <c r="HK5" s="366" t="s">
        <v>500</v>
      </c>
      <c r="HL5" s="366" t="s">
        <v>501</v>
      </c>
      <c r="HM5" s="366" t="s">
        <v>502</v>
      </c>
      <c r="HN5" s="366" t="s">
        <v>503</v>
      </c>
      <c r="HO5" s="366" t="s">
        <v>504</v>
      </c>
      <c r="HP5" s="366" t="s">
        <v>505</v>
      </c>
      <c r="HQ5" s="366" t="s">
        <v>506</v>
      </c>
      <c r="HR5" s="366" t="s">
        <v>507</v>
      </c>
      <c r="HS5" s="366" t="s">
        <v>508</v>
      </c>
      <c r="HT5" s="366" t="s">
        <v>509</v>
      </c>
      <c r="HU5" s="366" t="s">
        <v>510</v>
      </c>
      <c r="HV5" s="366" t="s">
        <v>511</v>
      </c>
      <c r="HW5" s="366" t="s">
        <v>512</v>
      </c>
      <c r="HX5" s="366" t="s">
        <v>513</v>
      </c>
      <c r="HY5" s="163" t="s">
        <v>1135</v>
      </c>
      <c r="HZ5" s="163" t="s">
        <v>1136</v>
      </c>
      <c r="IA5" s="163" t="s">
        <v>1137</v>
      </c>
      <c r="IB5" s="163" t="s">
        <v>1138</v>
      </c>
      <c r="IC5" s="164" t="s">
        <v>1139</v>
      </c>
      <c r="ID5" s="163" t="s">
        <v>418</v>
      </c>
      <c r="IE5" s="163" t="s">
        <v>1140</v>
      </c>
      <c r="IF5" s="163" t="s">
        <v>1141</v>
      </c>
      <c r="IG5" s="163" t="s">
        <v>1142</v>
      </c>
    </row>
    <row r="6" spans="1:241" s="149" customFormat="1" x14ac:dyDescent="0.3">
      <c r="A6" s="145" t="s">
        <v>1143</v>
      </c>
      <c r="B6" s="146" t="s">
        <v>1144</v>
      </c>
      <c r="C6" s="146" t="s">
        <v>1144</v>
      </c>
      <c r="D6" s="146" t="s">
        <v>1144</v>
      </c>
      <c r="E6" s="146" t="s">
        <v>1144</v>
      </c>
      <c r="F6" s="136" t="s">
        <v>1145</v>
      </c>
      <c r="G6" s="146" t="s">
        <v>1144</v>
      </c>
      <c r="H6" s="146" t="s">
        <v>1144</v>
      </c>
      <c r="I6" s="135" t="s">
        <v>1146</v>
      </c>
      <c r="J6" s="135" t="s">
        <v>105</v>
      </c>
      <c r="K6" s="135" t="s">
        <v>106</v>
      </c>
      <c r="L6" s="135" t="s">
        <v>107</v>
      </c>
      <c r="M6" s="135" t="s">
        <v>1147</v>
      </c>
      <c r="N6" s="135" t="s">
        <v>1148</v>
      </c>
      <c r="O6" s="147" t="s">
        <v>1149</v>
      </c>
      <c r="P6" s="148"/>
      <c r="Q6" s="135" t="s">
        <v>1150</v>
      </c>
      <c r="R6" s="135" t="s">
        <v>1151</v>
      </c>
      <c r="S6" s="135" t="s">
        <v>1152</v>
      </c>
      <c r="T6" s="135" t="s">
        <v>1153</v>
      </c>
      <c r="U6" s="135" t="s">
        <v>1154</v>
      </c>
      <c r="V6" s="135" t="s">
        <v>1155</v>
      </c>
      <c r="W6" s="148" t="s">
        <v>601</v>
      </c>
      <c r="X6" s="135" t="s">
        <v>601</v>
      </c>
      <c r="Y6" s="135" t="s">
        <v>1156</v>
      </c>
      <c r="Z6" s="135" t="s">
        <v>1157</v>
      </c>
      <c r="AA6" s="135" t="s">
        <v>1158</v>
      </c>
      <c r="AB6" s="135" t="s">
        <v>602</v>
      </c>
      <c r="AC6" s="135" t="s">
        <v>1159</v>
      </c>
      <c r="AD6" s="135" t="s">
        <v>1160</v>
      </c>
      <c r="AE6" s="135">
        <v>2020</v>
      </c>
      <c r="AF6" s="119">
        <v>100</v>
      </c>
      <c r="AG6" s="149">
        <v>2019</v>
      </c>
      <c r="AH6" s="118" t="s">
        <v>1161</v>
      </c>
      <c r="AI6" s="118" t="s">
        <v>1161</v>
      </c>
      <c r="AJ6" s="118" t="s">
        <v>1161</v>
      </c>
      <c r="AK6" s="118" t="s">
        <v>1161</v>
      </c>
      <c r="AL6" s="118" t="s">
        <v>1161</v>
      </c>
      <c r="AM6" s="118" t="s">
        <v>1161</v>
      </c>
      <c r="AN6" s="146" t="s">
        <v>1144</v>
      </c>
      <c r="AO6" s="146" t="s">
        <v>1144</v>
      </c>
      <c r="AP6" s="146" t="s">
        <v>1144</v>
      </c>
      <c r="AQ6" s="146" t="s">
        <v>1144</v>
      </c>
      <c r="AR6" s="146" t="s">
        <v>1144</v>
      </c>
      <c r="AS6" s="150" t="s">
        <v>1144</v>
      </c>
      <c r="AT6" s="130" t="s">
        <v>1161</v>
      </c>
      <c r="AU6" s="130" t="s">
        <v>1161</v>
      </c>
      <c r="AV6" s="130" t="s">
        <v>1161</v>
      </c>
      <c r="AW6" s="130" t="s">
        <v>1161</v>
      </c>
      <c r="AX6" s="131">
        <v>100</v>
      </c>
      <c r="AY6" s="151" t="s">
        <v>1144</v>
      </c>
      <c r="AZ6" s="146" t="s">
        <v>1144</v>
      </c>
      <c r="BA6" s="146" t="s">
        <v>1144</v>
      </c>
      <c r="BB6" s="146" t="s">
        <v>1144</v>
      </c>
      <c r="BC6" s="146" t="s">
        <v>1144</v>
      </c>
      <c r="BD6" s="146">
        <v>0</v>
      </c>
      <c r="BE6" s="146" t="s">
        <v>1144</v>
      </c>
      <c r="BF6" s="146" t="s">
        <v>1144</v>
      </c>
      <c r="BG6" s="146" t="s">
        <v>1144</v>
      </c>
      <c r="BH6" s="146" t="s">
        <v>1144</v>
      </c>
      <c r="BI6" s="146" t="s">
        <v>1144</v>
      </c>
      <c r="BJ6" s="146">
        <v>0</v>
      </c>
      <c r="BK6" s="146" t="s">
        <v>1144</v>
      </c>
      <c r="BL6" s="146" t="s">
        <v>1144</v>
      </c>
      <c r="BM6" s="146" t="s">
        <v>1144</v>
      </c>
      <c r="BN6" s="146" t="s">
        <v>1144</v>
      </c>
      <c r="BO6" s="146" t="s">
        <v>1144</v>
      </c>
      <c r="BP6" s="146" t="s">
        <v>1144</v>
      </c>
      <c r="BQ6" s="146" t="s">
        <v>1144</v>
      </c>
      <c r="BR6" s="146" t="s">
        <v>1144</v>
      </c>
      <c r="BS6" s="146" t="s">
        <v>1144</v>
      </c>
      <c r="BT6" s="146" t="s">
        <v>1144</v>
      </c>
      <c r="BU6" s="146" t="s">
        <v>1144</v>
      </c>
      <c r="BV6" s="146" t="s">
        <v>1144</v>
      </c>
      <c r="BW6" s="146" t="s">
        <v>1144</v>
      </c>
      <c r="BX6" s="146" t="s">
        <v>1144</v>
      </c>
      <c r="BY6" s="146" t="s">
        <v>1144</v>
      </c>
      <c r="BZ6" s="146" t="s">
        <v>1144</v>
      </c>
      <c r="CA6" s="146" t="s">
        <v>1144</v>
      </c>
      <c r="CB6" s="146" t="s">
        <v>1144</v>
      </c>
      <c r="CC6" s="146" t="s">
        <v>1144</v>
      </c>
      <c r="CD6" s="146" t="s">
        <v>1144</v>
      </c>
      <c r="CE6" s="146" t="s">
        <v>1144</v>
      </c>
      <c r="CF6" s="149">
        <v>1</v>
      </c>
      <c r="CG6" s="146" t="s">
        <v>1144</v>
      </c>
      <c r="CH6" s="146" t="s">
        <v>1144</v>
      </c>
      <c r="CI6" s="146" t="s">
        <v>1144</v>
      </c>
      <c r="CJ6" s="146" t="s">
        <v>1144</v>
      </c>
      <c r="CK6" s="146" t="s">
        <v>1144</v>
      </c>
      <c r="CL6" s="146" t="s">
        <v>1144</v>
      </c>
      <c r="CM6" s="146" t="s">
        <v>1144</v>
      </c>
      <c r="CN6" s="146" t="s">
        <v>1144</v>
      </c>
      <c r="CO6" s="146" t="s">
        <v>1144</v>
      </c>
      <c r="CP6" s="146" t="s">
        <v>1144</v>
      </c>
      <c r="CQ6" s="146" t="s">
        <v>1144</v>
      </c>
      <c r="CR6" s="146" t="s">
        <v>1144</v>
      </c>
      <c r="CS6" s="146" t="s">
        <v>1144</v>
      </c>
      <c r="CT6" s="146" t="s">
        <v>1144</v>
      </c>
      <c r="CU6" s="146" t="s">
        <v>1144</v>
      </c>
      <c r="CV6" s="146" t="s">
        <v>1144</v>
      </c>
      <c r="CW6" s="146" t="s">
        <v>1144</v>
      </c>
      <c r="CX6" s="146" t="s">
        <v>1144</v>
      </c>
      <c r="CY6" s="146" t="s">
        <v>1144</v>
      </c>
      <c r="CZ6" s="146" t="s">
        <v>1144</v>
      </c>
      <c r="DA6" s="146" t="s">
        <v>1144</v>
      </c>
      <c r="DB6" s="152" t="str">
        <f>IF(BW6="No Aplica","",$BW$5)&amp;IF(BX6="No Aplica","",$BX$5)&amp;IF(BY6="No Aplica","",$BY$5)&amp;IF(BZ6="No Aplica","",$BZ$5)&amp;IF(CA6="No Aplica","",$CA$5)&amp;IF(CB6="No Aplica","",CB6&amp;" ")&amp;IF(CC6="No Aplica","",CC6&amp;", ")&amp;IF(CD6="No Aplica","",$CD$5)&amp;IF(CE6="No Aplica","",$CE$5&amp;CE6&amp;", ")&amp;IF(CF6="No Aplica","",$CF$5)&amp;IF(CG6="No Aplica","",$CG$5)&amp;IF(CH6="No Aplica","",$CH$5)&amp;IF(CI6="No Aplica","",$CI$5)&amp;IF(CJ6="No Aplica","",$CJ$5)&amp;IF(CK6="No Aplica","",$CK$5)&amp;IF(CL6="No Aplica","",$CL$5)&amp;IF(CM6="No Aplica","",$CM$5)&amp;IF(CN6="No Aplica","",$CN$5)&amp;IF(CO6="No Aplica","",$CO$5)&amp;IF(CP6="No Aplica","",$CP$5)&amp;IF(CQ6="No Aplica","",$CQ$5)&amp;IF(CR6="No Aplica","",$CR$5)&amp;IF(CS6="No Aplica","",$CS$5)&amp;IF(CT6="No Aplica","",$CT$5)&amp;IF(CU6="No Aplica","",$CU$5)&amp;IF(CV6="No Aplica","",$CV$5)&amp;IF(CW6="No Aplica","",CW6&amp;", ")&amp;IF(CX6="No Aplica","",$CX$5&amp;CX6&amp;", ")&amp;IF(CY6="No Aplica","",$CY$5)&amp;IF(CZ6="No Aplica","",$CZ$5)&amp;IF(DA6="No Aplica","",$DA$5)</f>
        <v xml:space="preserve">PAAC, </v>
      </c>
      <c r="DC6" s="149" t="str">
        <f t="shared" ref="DC6:DG16" si="1">+VLOOKUP($A6,consolidado,MATCH(DC$5,consolidadofila,0),0)</f>
        <v>Este indicador mide el avance en la ejecución de las actividades programadas en la vigencia, para el Componente 1 del Plan Anticorrupción y Atención al Ciudadano en la Secretaria General de la Alcaldía Mayor de Bogotá D.C.</v>
      </c>
      <c r="DD6" s="149" t="str">
        <f t="shared" si="1"/>
        <v>Prestar apoyo técnico a las dependencias en lo relacionado con la formulación y el desarrollo de las actividades asociadas al componente 1 del Plan Anticorrupción y Atención al Ciudadano.
Hacer monitoreo y seguimiento a las dependencias responsables de la ejecución de las actividades programadas en el componenente 1 del Plan Anticorrupción y Atención al Ciudadano.</v>
      </c>
      <c r="DE6" s="149" t="str">
        <f t="shared" si="1"/>
        <v>Identificar, analizar y controlar los posibles hechos generadores de corrupción, tanto internos como externos, conforme a lo establecido en la "Guía para la administración del
riesgo y el diseño de controles en entidades públicas" y  el documento “Estrategias para la construcción del Plan Anticorrupción y de Atención al Ciudadano”</v>
      </c>
      <c r="DF6" s="149" t="str">
        <f t="shared" si="1"/>
        <v>Botón de transparencia de la página web de la Secretaría General
Informe de seguimiento y monitoreo al Mapa de Riesgos de Corrupción
Reportes de las dependencias</v>
      </c>
      <c r="DG6" s="149" t="str">
        <f t="shared" si="1"/>
        <v>Suma</v>
      </c>
      <c r="DH6" s="149">
        <f t="shared" ref="DH6:DH58" si="2">+IF(VLOOKUP($A6,consolidado,MATCH(DH$5,consolidadofila,0),0)=0,DU6,VLOOKUP($A6,consolidado,MATCH(DH$5,consolidadofila,0),0))</f>
        <v>84</v>
      </c>
      <c r="DI6" s="149">
        <f t="shared" ref="DI6:DI58" si="3">+VLOOKUP($A6,consolidado,MATCH(DO$5,consolidadofila,0),0)</f>
        <v>15</v>
      </c>
      <c r="DJ6" s="149">
        <f t="shared" ref="DJ6:DJ58" si="4">+VLOOKUP($A6,consolidado,MATCH(DP$5,consolidadofila,0),0)</f>
        <v>0</v>
      </c>
      <c r="DK6" s="149">
        <f t="shared" ref="DK6:DK58" si="5">+VLOOKUP($A6,consolidado,MATCH(DQ$5,consolidadofila,0),0)</f>
        <v>12</v>
      </c>
      <c r="DL6" s="149">
        <f t="shared" ref="DL6:DL58" si="6">+VLOOKUP($A6,consolidado,MATCH(DR$5,consolidadofila,0),0)</f>
        <v>1</v>
      </c>
      <c r="DM6" s="149">
        <f t="shared" ref="DM6:DM58" si="7">+VLOOKUP($A6,consolidado,MATCH(DS$5,consolidadofila,0),0)</f>
        <v>13</v>
      </c>
      <c r="DN6" s="149">
        <f>+VLOOKUP($A6,consolidado,MATCH(DT$5,consolidadofila,0),0)</f>
        <v>1</v>
      </c>
      <c r="DO6" s="149">
        <f t="shared" ref="DO6:DT15" si="8">+IF(AND($X6="Constante",$DG6="Constante"),$DU6,IF(AND($AB6="Porcentaje",$X6="Creciente",$DG6="Suma",$AW6&lt;&gt;"No Disponible / No Aplica",IFERROR($AX6-$AW6,0)&gt;0),VLOOKUP($A6,consolidado,MATCH(DO$5,consolidadofila,0),0)/$DH6*$AX6*($AX6-$AW6)/$AX6,IF(AND($AB6="Porcentaje",$X6="Creciente",,$AW6&lt;&gt;"No Disponible / No Aplica",IFERROR($AX6-$AW6,0)&gt;0,OR($DG6="Constante",$DG6="Creciente")),VLOOKUP($A6,consolidado,MATCH(DO$5,consolidadofila,0),0)*($AX6-$AW6)/$AX6,IF(AND($AB6="Número",$X6="Creciente"),VLOOKUP($A6,consolidado,MATCH(DO$5,consolidadofila,0),0),IF(AND($AB6="Porcentaje",$DG6="Suma"),VLOOKUP($A6,consolidado,MATCH(DO$5,consolidadofila,0),0)/$DH6*$AX6,IF(AND($AB6="Porcentaje",OR($DG6="Constante",$DG6="Creciente")),VLOOKUP($A6,consolidado,MATCH(DO$5,consolidadofila,0),0),IF($AB6="Número",VLOOKUP($A6,consolidado,MATCH(DO$5,consolidadofila,0),0))))))))</f>
        <v>17.857142857142858</v>
      </c>
      <c r="DP6" s="149">
        <f t="shared" si="8"/>
        <v>0</v>
      </c>
      <c r="DQ6" s="149">
        <f t="shared" si="8"/>
        <v>14.285714285714285</v>
      </c>
      <c r="DR6" s="149">
        <f t="shared" si="8"/>
        <v>1.1904761904761905</v>
      </c>
      <c r="DS6" s="149">
        <f t="shared" si="8"/>
        <v>15.476190476190476</v>
      </c>
      <c r="DT6" s="149">
        <f t="shared" si="8"/>
        <v>1.1904761904761905</v>
      </c>
      <c r="DU6" s="149">
        <f t="shared" ref="DU6:ED16" si="9">+VLOOKUP($A6,consolidado,MATCH(DU$5,consolidadofila,0),0)</f>
        <v>100</v>
      </c>
      <c r="DV6" s="149">
        <f t="shared" si="9"/>
        <v>15</v>
      </c>
      <c r="DW6" s="149">
        <f t="shared" si="9"/>
        <v>15</v>
      </c>
      <c r="DX6" s="149" t="str">
        <f t="shared" si="9"/>
        <v>La ejecución se ha venido realizando conforme a la programación establecida con el ánimo de gestionar los riesgos de corrupción en la entidad. Se destacaron las actividades como: Publicación del Plan Anticorrupción, monitoreo y retroalimentación al mapa de riesgos</v>
      </c>
      <c r="DY6" s="149" t="str">
        <f t="shared" si="9"/>
        <v>No se presentaron retrasos o dificultades para la realización de las actividades</v>
      </c>
      <c r="DZ6" s="149" t="str">
        <f t="shared" si="9"/>
        <v>Las actividades realizadas contribuyen a prevenir y minimizar los riesgos de corrupción en la entidad</v>
      </c>
      <c r="EA6" s="149">
        <f t="shared" si="9"/>
        <v>0</v>
      </c>
      <c r="EB6" s="149">
        <f t="shared" si="9"/>
        <v>0</v>
      </c>
      <c r="EC6" s="149" t="str">
        <f t="shared" si="9"/>
        <v>No Aplica</v>
      </c>
      <c r="ED6" s="149" t="str">
        <f>+VLOOKUP($A6,consolidado,MATCH(ED$5,consolidadofila,0),0)</f>
        <v>No Aplica</v>
      </c>
      <c r="EE6" s="149" t="str">
        <f t="shared" ref="EE6:EN16" si="10">+VLOOKUP($A6,consolidado,MATCH(EE$5,consolidadofila,0),0)</f>
        <v>No Aplica</v>
      </c>
      <c r="EF6" s="149">
        <f t="shared" si="10"/>
        <v>12</v>
      </c>
      <c r="EG6" s="149">
        <f t="shared" si="10"/>
        <v>12</v>
      </c>
      <c r="EH6" s="149" t="str">
        <f t="shared" si="10"/>
        <v>La ejecución se ha venido realizando conforme a la programción establecida con el ánimo de gestionar los riesgos de corrupción en la entidad. Se destacaron las actividades como: Seguimiento, monitoreo y actualización del mapa de riesgos</v>
      </c>
      <c r="EI6" s="149" t="str">
        <f t="shared" si="10"/>
        <v>Por efectos de la emergencia sanitaria se han presentado dificultades para la ralización de las actividades pero se han podido solucionar con el uso de la tecnología</v>
      </c>
      <c r="EJ6" s="149" t="str">
        <f t="shared" si="10"/>
        <v>Las actividades realizadas contribuyen a prevenir y minimizar los riesgos de corrupción en la entidad</v>
      </c>
      <c r="EK6" s="149">
        <f t="shared" si="10"/>
        <v>1</v>
      </c>
      <c r="EL6" s="149">
        <f t="shared" si="10"/>
        <v>1</v>
      </c>
      <c r="EM6" s="149" t="str">
        <f t="shared" si="10"/>
        <v>La ejecución se ha venido realizando conforme a la programción establecida con el ánimo de gestionar los riesgos de corrupción en la entidad. Se destacaron las actividades como: La publicación del mapa de riesgos en la página web de la entidad</v>
      </c>
      <c r="EN6" s="149" t="str">
        <f t="shared" si="10"/>
        <v>Por efectos de la emergencia sanitaria se han presentado dificultades para la ralización de las actividades pero se han podido solucionar con el uso de la tecnología</v>
      </c>
      <c r="EO6" s="149" t="str">
        <f t="shared" ref="EO6:FC21" si="11">+VLOOKUP($A6,consolidado,MATCH(EO$5,consolidadofila,0),0)</f>
        <v>Las actividades realizadas contribuyen a prevenir y minimizar los riesgos de corrupción en la entidad</v>
      </c>
      <c r="EP6" s="149">
        <f t="shared" si="11"/>
        <v>13</v>
      </c>
      <c r="EQ6" s="149">
        <f t="shared" si="11"/>
        <v>13</v>
      </c>
      <c r="ER6" s="149" t="str">
        <f t="shared" si="11"/>
        <v>La ejecución se ha venido realizando conforme a la programción establecida con el ánimo de gestionar los riesgos de corrupción en la entidad.  Se destacaron las actividades como: Monitoreo y seguimiento al mapa de riesgos a 30 de abril y El seguimiento al mapa de riesgos por parte de la Oficina de Control Interno (Primer Cuatrimestre)</v>
      </c>
      <c r="ES6" s="149" t="str">
        <f t="shared" si="11"/>
        <v>Por efectos de la emergencia sanitaria se han presentado dificultades para la ralización de las actividades pero se han podido solucionar con el uso de la tecnología</v>
      </c>
      <c r="ET6" s="149" t="str">
        <f t="shared" si="11"/>
        <v>Las actividades realizadas contribuyen a prevenir y minimizar los riesgos de corrupción en la entidad</v>
      </c>
      <c r="EU6" s="149">
        <f t="shared" si="11"/>
        <v>1</v>
      </c>
      <c r="EV6" s="149">
        <f t="shared" si="11"/>
        <v>1</v>
      </c>
      <c r="EW6" s="149" t="str">
        <f t="shared" si="11"/>
        <v xml:space="preserve">Se adelantó por parte de  la Oficina de Control Interno Disciplinario (Primer Semestre) la formulación de acciones preventivas dirigidas a 154 funcionarios y colaboradores de la red CADE y la Subdirección de Imprenta Distrital para evitar hechos de corrupción </v>
      </c>
      <c r="EX6" s="149" t="str">
        <f t="shared" si="11"/>
        <v>Ninguna</v>
      </c>
      <c r="EY6" s="149" t="str">
        <f t="shared" si="11"/>
        <v xml:space="preserve">Las actividades realizadas contribuyeron a la orientación de los funcionarios para prevenir y minimizar hechos de corrupción en la entidad </v>
      </c>
      <c r="EZ6" s="149">
        <f t="shared" si="11"/>
        <v>42</v>
      </c>
      <c r="FA6" s="149">
        <f t="shared" si="11"/>
        <v>42</v>
      </c>
      <c r="FB6" s="149" t="str">
        <f t="shared" si="11"/>
        <v/>
      </c>
      <c r="FC6" s="149" t="str">
        <f t="shared" si="11"/>
        <v/>
      </c>
      <c r="FD6" s="149" t="str">
        <f t="shared" ref="FD6:FM16" si="12">+VLOOKUP($A6,consolidado,MATCH(FD$5,consolidadofila,0),0)</f>
        <v/>
      </c>
      <c r="FE6" s="149" t="str">
        <f t="shared" si="12"/>
        <v/>
      </c>
      <c r="FF6" s="149" t="str">
        <f t="shared" si="12"/>
        <v/>
      </c>
      <c r="FG6" s="149" t="str">
        <f t="shared" si="12"/>
        <v/>
      </c>
      <c r="FH6" s="149" t="str">
        <f t="shared" si="12"/>
        <v/>
      </c>
      <c r="FI6" s="149" t="str">
        <f t="shared" si="12"/>
        <v/>
      </c>
      <c r="FJ6" s="149" t="str">
        <f t="shared" si="12"/>
        <v/>
      </c>
      <c r="FK6" s="149" t="str">
        <f t="shared" si="12"/>
        <v/>
      </c>
      <c r="FL6" s="149" t="str">
        <f t="shared" si="12"/>
        <v/>
      </c>
      <c r="FM6" s="149" t="str">
        <f t="shared" si="12"/>
        <v/>
      </c>
      <c r="FN6" s="149" t="str">
        <f t="shared" ref="FN6:FW16" si="13">+VLOOKUP($A6,consolidado,MATCH(FN$5,consolidadofila,0),0)</f>
        <v/>
      </c>
      <c r="FO6" s="149" t="str">
        <f t="shared" si="13"/>
        <v/>
      </c>
      <c r="FP6" s="149" t="str">
        <f t="shared" si="13"/>
        <v/>
      </c>
      <c r="FQ6" s="149" t="str">
        <f t="shared" si="13"/>
        <v/>
      </c>
      <c r="FR6" s="149" t="str">
        <f t="shared" si="13"/>
        <v/>
      </c>
      <c r="FS6" s="149" t="str">
        <f t="shared" si="13"/>
        <v/>
      </c>
      <c r="FT6" s="149" t="str">
        <f t="shared" si="13"/>
        <v/>
      </c>
      <c r="FU6" s="149" t="str">
        <f t="shared" si="13"/>
        <v/>
      </c>
      <c r="FV6" s="149" t="str">
        <f t="shared" si="13"/>
        <v/>
      </c>
      <c r="FW6" s="149" t="str">
        <f t="shared" si="13"/>
        <v/>
      </c>
      <c r="FX6" s="149" t="str">
        <f t="shared" ref="FX6:GE16" si="14">+VLOOKUP($A6,consolidado,MATCH(FX$5,consolidadofila,0),0)</f>
        <v/>
      </c>
      <c r="FY6" s="149" t="str">
        <f t="shared" si="14"/>
        <v/>
      </c>
      <c r="FZ6" s="149" t="str">
        <f t="shared" si="14"/>
        <v/>
      </c>
      <c r="GA6" s="149" t="str">
        <f t="shared" si="14"/>
        <v/>
      </c>
      <c r="GB6" s="149" t="str">
        <f t="shared" si="14"/>
        <v/>
      </c>
      <c r="GC6" s="149" t="str">
        <f t="shared" si="14"/>
        <v/>
      </c>
      <c r="GD6" s="149" t="str">
        <f t="shared" si="14"/>
        <v/>
      </c>
      <c r="GE6" s="149" t="str">
        <f t="shared" si="14"/>
        <v/>
      </c>
      <c r="GF6" s="149">
        <f>+IFERROR(IF(DW6=0,DV6/DO6,DV6/DW6),DV6)</f>
        <v>1</v>
      </c>
      <c r="GG6" s="149">
        <f>+IFERROR(IF(EB6=0,EA6/DP6,EA6/EB6),EA6)</f>
        <v>0</v>
      </c>
      <c r="GH6" s="149">
        <f>+IFERROR(IF(EG6=0,EF6/DQ6,EF6/EG6),EF6)</f>
        <v>1</v>
      </c>
      <c r="GI6" s="149">
        <f>+IFERROR(IF(EL6=0,EK6/DR6,EK6/EL6),EK6)</f>
        <v>1</v>
      </c>
      <c r="GJ6" s="149">
        <f>+IFERROR(IF(EQ6=0,EP6/DS6,EP6/EQ6),EP6)</f>
        <v>1</v>
      </c>
      <c r="GK6" s="149">
        <f>+IF(FA6=0,EZ6,EZ6/FA6)</f>
        <v>1</v>
      </c>
      <c r="GL6" s="149">
        <f t="shared" ref="GL6:GL58" si="15">+IF($A6=52,1,IFERROR(IF(OR($DG6="Constante",$DG6="Creciente"),IFERROR(IF(VLOOKUP($A6,bd,MATCH(GL$3,bdfila,0),0)="",0,VLOOKUP($A6,bd,MATCH(GL$3,bdfila,0),0))/(IF(VLOOKUP($A6,bd,MATCH(GL$2,bdfila,0),0)="",0,VLOOKUP($A6,bd,MATCH(GL$2,bdfila,0),0))),IF(VLOOKUP($A6,bd,MATCH(GL$3,bdfila,0),0)="",0,VLOOKUP($A6,bd,MATCH(GL$3,bdfila,0),0))/DI6),IF(VLOOKUP($A6,bd,MATCH(GL$3,bdfila,0),0)="",0,VLOOKUP($A6,bd,MATCH(GL$3,bdfila,0),0))/$DH6/IF($X6="Constante",1,1)),IF(VLOOKUP($A6,bd,MATCH(GL$3,bdfila,0),0)="",0,VLOOKUP($A6,bd,MATCH(GL$3,bdfila,0),0))/$DH6))*100</f>
        <v>17.857142857142858</v>
      </c>
      <c r="GM6" s="149">
        <f t="shared" ref="GM6:GM58" si="16">+IF($A6=52,1,IFERROR(IF(OR($DG6="Constante",$DG6="Creciente"),IFERROR(IF(VLOOKUP($A6,bd,MATCH(GM$3,bdfila,0),0)="",0,VLOOKUP($A6,bd,MATCH(GM$3,bdfila,0),0))/(IF(VLOOKUP($A6,bd,MATCH(GM$2,bdfila,0),0)="",0,VLOOKUP($A6,bd,MATCH(GM$2,bdfila,0),0))),IF(VLOOKUP($A6,bd,MATCH(GM$3,bdfila,0),0)="",0,VLOOKUP($A6,bd,MATCH(GM$3,bdfila,0),0))/DJ6),IF(VLOOKUP($A6,bd,MATCH(GM$3,bdfila,0),0)="",0,VLOOKUP($A6,bd,MATCH(GM$3,bdfila,0),0))/$DH6/IF($X6="Constante",1,1)),IF(VLOOKUP($A6,bd,MATCH(GM$3,bdfila,0),0)="",0,VLOOKUP($A6,bd,MATCH(GM$3,bdfila,0),0))/$DH6))*100</f>
        <v>0</v>
      </c>
      <c r="GN6" s="149">
        <f t="shared" ref="GN6:GN58" si="17">+IF($A6=52,1,IFERROR(IF(OR($DG6="Constante",$DG6="Creciente"),IFERROR(IF(VLOOKUP($A6,bd,MATCH(GN$3,bdfila,0),0)="",0,VLOOKUP($A6,bd,MATCH(GN$3,bdfila,0),0))/(IF(VLOOKUP($A6,bd,MATCH(GN$2,bdfila,0),0)="",0,VLOOKUP($A6,bd,MATCH(GN$2,bdfila,0),0))),IF(VLOOKUP($A6,bd,MATCH(GN$3,bdfila,0),0)="",0,VLOOKUP($A6,bd,MATCH(GN$3,bdfila,0),0))/DK6),IF(VLOOKUP($A6,bd,MATCH(GN$3,bdfila,0),0)="",0,VLOOKUP($A6,bd,MATCH(GN$3,bdfila,0),0))/$DH6/IF($X6="Constante",1,1)),IF(VLOOKUP($A6,bd,MATCH(GN$3,bdfila,0),0)="",0,VLOOKUP($A6,bd,MATCH(GN$3,bdfila,0),0))/$DH6))*100</f>
        <v>14.285714285714285</v>
      </c>
      <c r="GO6" s="149">
        <f t="shared" ref="GO6:GO58" si="18">+IF($A6=52,1,IFERROR(IF(OR($DG6="Constante",$DG6="Creciente"),IFERROR(IF(VLOOKUP($A6,bd,MATCH(GO$3,bdfila,0),0)="",0,VLOOKUP($A6,bd,MATCH(GO$3,bdfila,0),0))/(IF(VLOOKUP($A6,bd,MATCH(GO$2,bdfila,0),0)="",0,VLOOKUP($A6,bd,MATCH(GO$2,bdfila,0),0))),IF(VLOOKUP($A6,bd,MATCH(GO$3,bdfila,0),0)="",0,VLOOKUP($A6,bd,MATCH(GO$3,bdfila,0),0))/DL6),IF(VLOOKUP($A6,bd,MATCH(GO$3,bdfila,0),0)="",0,VLOOKUP($A6,bd,MATCH(GO$3,bdfila,0),0))/$DH6/IF($X6="Constante",1,1)),IF(VLOOKUP($A6,bd,MATCH(GO$3,bdfila,0),0)="",0,VLOOKUP($A6,bd,MATCH(GO$3,bdfila,0),0))/$DH6))*100</f>
        <v>1.1904761904761905</v>
      </c>
      <c r="GP6" s="149">
        <f t="shared" ref="GP6:GQ58" si="19">+IF($A6=52,1,IFERROR(IF(OR($DG6="Constante",$DG6="Creciente"),IFERROR(IF(VLOOKUP($A6,bd,MATCH(GP$3,bdfila,0),0)="",0,VLOOKUP($A6,bd,MATCH(GP$3,bdfila,0),0))/(IF(VLOOKUP($A6,bd,MATCH(GP$2,bdfila,0),0)="",0,VLOOKUP($A6,bd,MATCH(GP$2,bdfila,0),0))),IF(VLOOKUP($A6,bd,MATCH(GP$3,bdfila,0),0)="",0,VLOOKUP($A6,bd,MATCH(GP$3,bdfila,0),0))/DM6),IF(VLOOKUP($A6,bd,MATCH(GP$3,bdfila,0),0)="",0,VLOOKUP($A6,bd,MATCH(GP$3,bdfila,0),0))/$DH6/IF($X6="Constante",1,1)),IF(VLOOKUP($A6,bd,MATCH(GP$3,bdfila,0),0)="",0,VLOOKUP($A6,bd,MATCH(GP$3,bdfila,0),0))/$DH6))*100</f>
        <v>15.476190476190476</v>
      </c>
      <c r="GQ6" s="149">
        <f t="shared" si="19"/>
        <v>1.1904761904761905</v>
      </c>
      <c r="GR6" s="153">
        <f>+IF(DG6="Suma",SUM(GL6:GQ6),AVERAGE(GL6:GQ6))</f>
        <v>49.999999999999993</v>
      </c>
      <c r="GS6" s="149">
        <f>+IF(OR($A6=52,$A6=124),1,IFERROR(IF($X6="Creciente",IF($AB6="Número",SUM(GL6)/SUM(DO6)*($AX6-$AW6),SUM(GL6)/SUM(DO6))*($AX6-$AW6),IF(AND($DG6="Constante",$AB6="Porcentaje"),AVERAGEIF(GL6,"&lt;&gt;0")/AVERAGEIF(DO6,"&lt;&gt;0")*100,SUM(GL6)/SUM(DO6)*$DU6)),"No Programó"))</f>
        <v>100</v>
      </c>
      <c r="GT6" s="149">
        <f>+IF(OR($A6=52,$A6=124),1,IFERROR(IF($X6="Creciente",IF($AB6="Número",SUM($GL6:GM6)/SUM($DO6:DP6)*($AX6-$AW6),SUM($GL6:GM6)/SUM($DO6:DP6))*($AX6-$AW6),IF($DG6="Creciente",GM6*GM6/GM6,IF(AND($DG6="Constante",$AB6="Porcentaje"),AVERAGEIF($GL6:GM6,"&lt;&gt;0")/AVERAGEIF($DO6:DP6,"&lt;&gt;0")*100,SUM($GL6:GM6)/SUM($DO6:DP6)*$DU6))),GS6))</f>
        <v>100</v>
      </c>
      <c r="GU6" s="149">
        <f>+IF(OR($A6=52,$A6=124),1,IFERROR(IF($X6="Creciente",IF($AB6="Número",SUM($GL6:GN6)/SUM($DO6:DQ6)*($AX6-$AW6),SUM($GL6:GN6)/SUM($DO6:DQ6))*($AX6-$AW6),IF($DG6="Creciente",GN6*GN6/GN6,IF(AND($DG6="Constante",$AB6="Porcentaje"),AVERAGEIF($GL6:GN6,"&lt;&gt;0")/AVERAGEIF($DO6:DQ6,"&lt;&gt;0")*100,SUM($GL6:GN6)/SUM($DO6:DQ6)*$DU6))),GT6))</f>
        <v>100</v>
      </c>
      <c r="GV6" s="149">
        <f>+IF(OR($A6=52,$A6=124),1,IFERROR(IF($X6="Creciente",IF($AB6="Número",SUM($GL6:GO6)/SUM($DO6:DR6)*($AX6-$AW6),SUM($GL6:GO6)/SUM($DO6:DR6))*($AX6-$AW6),IF($DG6="Creciente",GO6*GO6/GO6,IF(AND($DG6="Constante",$AB6="Porcentaje"),AVERAGEIF($GL6:GO6,"&lt;&gt;0")/AVERAGEIF($DO6:DR6,"&lt;&gt;0")*100,SUM($GL6:GO6)/SUM($DO6:DR6)*$DU6))),GU6))</f>
        <v>100</v>
      </c>
      <c r="GW6" s="149">
        <f>+IF(OR($A6=52,$A6=124),1,IFERROR(IF($X6="Creciente",IF($AB6="Número",SUM($GL6:GP6)/SUM($DO6:DS6)*($AX6-$AW6),SUM($GL6:GP6)/SUM($DO6:DS6))*($AX6-$AW6),IF($DG6="Creciente",GP6*GP6/GP6,IF(AND($DG6="Constante",$AB6="Porcentaje"),AVERAGEIF($GL6:GP6,"&lt;&gt;0")/AVERAGEIF($DO6:DS6,"&lt;&gt;0")*100,SUM($GL6:GP6)/SUM($DO6:DS6)*$DU6))),GV6))</f>
        <v>100</v>
      </c>
      <c r="GX6" s="149">
        <f>+IF(OR($A6=52,$A6=124),1,IFERROR(IF($X6="Creciente",IF($AB6="Número",SUM($GL6:GQ6)/SUM($DO6:DT6)*($AX6-$AW6),SUM($GL6:GQ6)/SUM($DO6:DT6))*($AX6-$AW6),IF($DG6="Creciente",GQ6*GQ6/GQ6,IF(AND($DG6="Constante",$AB6="Porcentaje"),AVERAGEIF($GL6:GQ6,"&lt;&gt;0")/AVERAGEIF($DO6:DT6,"&lt;&gt;0")*100,SUM($GL6:GQ6)/SUM($DO6:DT6)*$DU6))),GW6))</f>
        <v>100</v>
      </c>
      <c r="GY6" s="149" t="str">
        <f>+DC6</f>
        <v>Este indicador mide el avance en la ejecución de las actividades programadas en la vigencia, para el Componente 1 del Plan Anticorrupción y Atención al Ciudadano en la Secretaria General de la Alcaldía Mayor de Bogotá D.C.</v>
      </c>
      <c r="GZ6" s="149" t="str">
        <f>+DD6</f>
        <v>Prestar apoyo técnico a las dependencias en lo relacionado con la formulación y el desarrollo de las actividades asociadas al componente 1 del Plan Anticorrupción y Atención al Ciudadano.
Hacer monitoreo y seguimiento a las dependencias responsables de la ejecución de las actividades programadas en el componenente 1 del Plan Anticorrupción y Atención al Ciudadano.</v>
      </c>
      <c r="HA6" s="149" t="str">
        <f>+DE6</f>
        <v>Identificar, analizar y controlar los posibles hechos generadores de corrupción, tanto internos como externos, conforme a lo establecido en la "Guía para la administración del
riesgo y el diseño de controles en entidades públicas" y  el documento “Estrategias para la construcción del Plan Anticorrupción y de Atención al Ciudadano”</v>
      </c>
      <c r="HB6" s="149" t="str">
        <f>+DF6</f>
        <v>Botón de transparencia de la página web de la Secretaría General
Informe de seguimiento y monitoreo al Mapa de Riesgos de Corrupción
Reportes de las dependencias</v>
      </c>
      <c r="HC6" s="149" t="str">
        <f t="shared" ref="HC6:HL15" si="20">+VLOOKUP($A6,consolidado,MATCH(HC$5,consolidadofila,0),0)</f>
        <v>No aplica</v>
      </c>
      <c r="HD6" s="149" t="str">
        <f t="shared" si="20"/>
        <v>Cumplido</v>
      </c>
      <c r="HE6" s="149" t="str">
        <f t="shared" si="20"/>
        <v>No adecuado</v>
      </c>
      <c r="HF6" s="149" t="str">
        <f t="shared" si="20"/>
        <v>Coherente</v>
      </c>
      <c r="HG6" s="149" t="str">
        <f t="shared" si="20"/>
        <v>Indeterminado</v>
      </c>
      <c r="HH6" s="149" t="str">
        <f t="shared" si="20"/>
        <v>Indeterminado</v>
      </c>
      <c r="HI6" s="149" t="str">
        <f t="shared" si="20"/>
        <v>No aplica</v>
      </c>
      <c r="HJ6" s="149" t="str">
        <f t="shared" si="20"/>
        <v>Indeterminado</v>
      </c>
      <c r="HK6" s="149" t="str">
        <f t="shared" si="20"/>
        <v>Oportuna</v>
      </c>
      <c r="HL6" s="149" t="str">
        <f t="shared" si="20"/>
        <v>El reporte de las evidencias debería guardar correspondencia con el número de las actividades ejecutadas, de manera que sean fácilmente verificables. Por ejemplo, para el mes de enero se reportan 15 actividades realizadas de 15 programadas y en las 5 carpetas de evidencias se tienen 18 archivos; para el mes de marzo se reportan 12 de 12 y las evidencias en 2 carpetas contienen 24 archivos. De otra parte, el avance cualitativo no señala a qué actividades corresponde el avance del indicador, lo que podría facilitar el cotejo de evidencias.</v>
      </c>
      <c r="HM6" s="149" t="str">
        <f t="shared" ref="HM6:HX15" si="21">+VLOOKUP($A6,consolidado,MATCH(HM$5,consolidadofila,0),0)</f>
        <v>Fernando Escobar Mendoza</v>
      </c>
      <c r="HN6" s="149" t="str">
        <f t="shared" si="21"/>
        <v>Cumple</v>
      </c>
      <c r="HO6" s="149" t="str">
        <f t="shared" si="21"/>
        <v>Cumplido</v>
      </c>
      <c r="HP6" s="149" t="str">
        <f t="shared" si="21"/>
        <v>Adecuado</v>
      </c>
      <c r="HQ6" s="149" t="str">
        <f t="shared" si="21"/>
        <v>Coherente</v>
      </c>
      <c r="HR6" s="149" t="str">
        <f t="shared" si="21"/>
        <v>Concuerda</v>
      </c>
      <c r="HS6" s="149" t="str">
        <f t="shared" si="21"/>
        <v>No aplica</v>
      </c>
      <c r="HT6" s="149" t="str">
        <f t="shared" si="21"/>
        <v>No aplica</v>
      </c>
      <c r="HU6" s="149" t="str">
        <f t="shared" si="21"/>
        <v>No adecuado</v>
      </c>
      <c r="HV6" s="149" t="str">
        <f t="shared" si="21"/>
        <v>Oportuna</v>
      </c>
      <c r="HW6" s="149" t="str">
        <f t="shared" si="21"/>
        <v>En el avance cualitativo no se relaciona el reporte de la oficina de control interno disciplinario sobre hechos de corrupción en el semestre y en las evidencias se incluye el reporte de la capacitación pero no las evidencias de su ejecución (presentación, lista de asistentes etc.). Se debería incluir en las evidencias según la programación del PAAC el entregable de la actividad prevista.</v>
      </c>
      <c r="HX6" s="149" t="str">
        <f t="shared" si="21"/>
        <v>Fernando Escobar Mendoza</v>
      </c>
    </row>
    <row r="7" spans="1:241" s="149" customFormat="1" x14ac:dyDescent="0.3">
      <c r="A7" s="145" t="s">
        <v>1162</v>
      </c>
      <c r="B7" s="146" t="s">
        <v>1144</v>
      </c>
      <c r="C7" s="146" t="s">
        <v>1144</v>
      </c>
      <c r="D7" s="146" t="s">
        <v>1144</v>
      </c>
      <c r="E7" s="146" t="s">
        <v>1144</v>
      </c>
      <c r="F7" s="136" t="s">
        <v>1163</v>
      </c>
      <c r="G7" s="146" t="s">
        <v>1144</v>
      </c>
      <c r="H7" s="146" t="s">
        <v>1144</v>
      </c>
      <c r="I7" s="135" t="s">
        <v>1146</v>
      </c>
      <c r="J7" s="135" t="s">
        <v>105</v>
      </c>
      <c r="K7" s="135" t="s">
        <v>106</v>
      </c>
      <c r="L7" s="135" t="s">
        <v>107</v>
      </c>
      <c r="M7" s="135" t="s">
        <v>1147</v>
      </c>
      <c r="N7" s="135" t="s">
        <v>1148</v>
      </c>
      <c r="O7" s="147" t="s">
        <v>1149</v>
      </c>
      <c r="P7" s="148"/>
      <c r="Q7" s="135" t="s">
        <v>1164</v>
      </c>
      <c r="R7" s="135" t="s">
        <v>1165</v>
      </c>
      <c r="S7" s="135" t="s">
        <v>1152</v>
      </c>
      <c r="T7" s="135" t="s">
        <v>1153</v>
      </c>
      <c r="U7" s="135" t="s">
        <v>1154</v>
      </c>
      <c r="V7" s="135" t="s">
        <v>1166</v>
      </c>
      <c r="W7" s="148" t="s">
        <v>601</v>
      </c>
      <c r="X7" s="135" t="s">
        <v>601</v>
      </c>
      <c r="Y7" s="135" t="s">
        <v>1167</v>
      </c>
      <c r="Z7" s="135" t="s">
        <v>1168</v>
      </c>
      <c r="AA7" s="135" t="s">
        <v>1169</v>
      </c>
      <c r="AB7" s="135" t="s">
        <v>602</v>
      </c>
      <c r="AC7" s="135" t="s">
        <v>1159</v>
      </c>
      <c r="AD7" s="135" t="s">
        <v>1160</v>
      </c>
      <c r="AE7" s="135">
        <v>2020</v>
      </c>
      <c r="AF7" s="119">
        <v>100</v>
      </c>
      <c r="AG7" s="149">
        <v>2019</v>
      </c>
      <c r="AH7" s="118" t="s">
        <v>1161</v>
      </c>
      <c r="AI7" s="118" t="s">
        <v>1161</v>
      </c>
      <c r="AJ7" s="118" t="s">
        <v>1161</v>
      </c>
      <c r="AK7" s="118" t="s">
        <v>1161</v>
      </c>
      <c r="AL7" s="118" t="s">
        <v>1161</v>
      </c>
      <c r="AM7" s="118" t="s">
        <v>1161</v>
      </c>
      <c r="AN7" s="146" t="s">
        <v>1144</v>
      </c>
      <c r="AO7" s="146" t="s">
        <v>1144</v>
      </c>
      <c r="AP7" s="146" t="s">
        <v>1144</v>
      </c>
      <c r="AQ7" s="146" t="s">
        <v>1144</v>
      </c>
      <c r="AR7" s="146" t="s">
        <v>1144</v>
      </c>
      <c r="AS7" s="150" t="s">
        <v>1144</v>
      </c>
      <c r="AT7" s="130" t="s">
        <v>1161</v>
      </c>
      <c r="AU7" s="130" t="s">
        <v>1161</v>
      </c>
      <c r="AV7" s="130" t="s">
        <v>1161</v>
      </c>
      <c r="AW7" s="130" t="s">
        <v>1161</v>
      </c>
      <c r="AX7" s="131">
        <v>100</v>
      </c>
      <c r="AY7" s="151" t="s">
        <v>1144</v>
      </c>
      <c r="AZ7" s="146" t="s">
        <v>1144</v>
      </c>
      <c r="BA7" s="146" t="s">
        <v>1144</v>
      </c>
      <c r="BB7" s="146" t="s">
        <v>1144</v>
      </c>
      <c r="BC7" s="146" t="s">
        <v>1144</v>
      </c>
      <c r="BD7" s="146">
        <v>0</v>
      </c>
      <c r="BE7" s="146" t="s">
        <v>1144</v>
      </c>
      <c r="BF7" s="146" t="s">
        <v>1144</v>
      </c>
      <c r="BG7" s="146" t="s">
        <v>1144</v>
      </c>
      <c r="BH7" s="146" t="s">
        <v>1144</v>
      </c>
      <c r="BI7" s="146" t="s">
        <v>1144</v>
      </c>
      <c r="BJ7" s="146">
        <v>0</v>
      </c>
      <c r="BK7" s="146" t="s">
        <v>1144</v>
      </c>
      <c r="BL7" s="146" t="s">
        <v>1144</v>
      </c>
      <c r="BM7" s="146" t="s">
        <v>1144</v>
      </c>
      <c r="BN7" s="146" t="s">
        <v>1144</v>
      </c>
      <c r="BO7" s="146" t="s">
        <v>1144</v>
      </c>
      <c r="BP7" s="146" t="s">
        <v>1144</v>
      </c>
      <c r="BQ7" s="146" t="s">
        <v>1144</v>
      </c>
      <c r="BR7" s="146" t="s">
        <v>1144</v>
      </c>
      <c r="BS7" s="146" t="s">
        <v>1144</v>
      </c>
      <c r="BT7" s="146" t="s">
        <v>1144</v>
      </c>
      <c r="BU7" s="146" t="s">
        <v>1144</v>
      </c>
      <c r="BV7" s="146" t="s">
        <v>1144</v>
      </c>
      <c r="BW7" s="146" t="s">
        <v>1144</v>
      </c>
      <c r="BX7" s="146" t="s">
        <v>1144</v>
      </c>
      <c r="BY7" s="146" t="s">
        <v>1144</v>
      </c>
      <c r="BZ7" s="146" t="s">
        <v>1144</v>
      </c>
      <c r="CA7" s="146" t="s">
        <v>1144</v>
      </c>
      <c r="CB7" s="146" t="s">
        <v>1144</v>
      </c>
      <c r="CC7" s="146" t="s">
        <v>1144</v>
      </c>
      <c r="CD7" s="146" t="s">
        <v>1144</v>
      </c>
      <c r="CE7" s="146" t="s">
        <v>1144</v>
      </c>
      <c r="CF7" s="149">
        <v>1</v>
      </c>
      <c r="CG7" s="146" t="s">
        <v>1144</v>
      </c>
      <c r="CH7" s="146" t="s">
        <v>1144</v>
      </c>
      <c r="CI7" s="146" t="s">
        <v>1144</v>
      </c>
      <c r="CJ7" s="146" t="s">
        <v>1144</v>
      </c>
      <c r="CK7" s="146" t="s">
        <v>1144</v>
      </c>
      <c r="CL7" s="146" t="s">
        <v>1144</v>
      </c>
      <c r="CM7" s="146" t="s">
        <v>1144</v>
      </c>
      <c r="CN7" s="146" t="s">
        <v>1144</v>
      </c>
      <c r="CO7" s="146" t="s">
        <v>1144</v>
      </c>
      <c r="CP7" s="146" t="s">
        <v>1144</v>
      </c>
      <c r="CQ7" s="146" t="s">
        <v>1144</v>
      </c>
      <c r="CR7" s="146" t="s">
        <v>1144</v>
      </c>
      <c r="CS7" s="146" t="s">
        <v>1144</v>
      </c>
      <c r="CT7" s="146" t="s">
        <v>1144</v>
      </c>
      <c r="CU7" s="146" t="s">
        <v>1144</v>
      </c>
      <c r="CV7" s="146" t="s">
        <v>1144</v>
      </c>
      <c r="CW7" s="146" t="s">
        <v>1144</v>
      </c>
      <c r="CX7" s="146" t="s">
        <v>1144</v>
      </c>
      <c r="CY7" s="146" t="s">
        <v>1144</v>
      </c>
      <c r="CZ7" s="146" t="s">
        <v>1144</v>
      </c>
      <c r="DA7" s="146" t="s">
        <v>1144</v>
      </c>
      <c r="DB7" s="152" t="str">
        <f>IF(BW7="No Aplica","",$BW$5)&amp;IF(BX7="No Aplica","",$BX$5)&amp;IF(BY7="No Aplica","",$BY$5)&amp;IF(BZ7="No Aplica","",$BZ$5)&amp;IF(CA7="No Aplica","",$CA$5)&amp;IF(CB7="No Aplica","",CB7&amp;" ")&amp;IF(CC7="No Aplica","",CC7&amp;", ")&amp;IF(CD7="No Aplica","",$CD$5)&amp;IF(CE7="No Aplica","",$CE$5&amp;CE7&amp;", ")&amp;IF(CF7="No Aplica","",$CF$5)&amp;IF(CG7="No Aplica","",$CG$5)&amp;IF(CH7="No Aplica","",$CH$5)&amp;IF(CI7="No Aplica","",$CI$5)&amp;IF(CJ7="No Aplica","",$CJ$5)&amp;IF(CK7="No Aplica","",$CK$5)&amp;IF(CL7="No Aplica","",$CL$5)&amp;IF(CM7="No Aplica","",$CM$5)&amp;IF(CN7="No Aplica","",$CN$5)&amp;IF(CO7="No Aplica","",$CO$5)&amp;IF(CP7="No Aplica","",$CP$5)&amp;IF(CQ7="No Aplica","",$CQ$5)&amp;IF(CR7="No Aplica","",$CR$5)&amp;IF(CS7="No Aplica","",$CS$5)&amp;IF(CT7="No Aplica","",$CT$5)&amp;IF(CU7="No Aplica","",$CU$5)&amp;IF(CV7="No Aplica","",$CV$5)&amp;IF(CW7="No Aplica","",CW7&amp;", ")&amp;IF(CX7="No Aplica","",$CX$5&amp;CX7&amp;", ")&amp;IF(CY7="No Aplica","",$CY$5)&amp;IF(CZ7="No Aplica","",$CZ$5)&amp;IF(DA7="No Aplica","",$DA$5)</f>
        <v xml:space="preserve">PAAC, </v>
      </c>
      <c r="DC7" s="149" t="str">
        <f t="shared" si="1"/>
        <v>Este indicador mide el avance en la ejecución de las actividades programadas en la vigencia, para el Componente 2 del Plan Anticorrupción y Atención al Ciudadano en la Secretaria General de la Alcaldía Mayor de Bogotá D.C.</v>
      </c>
      <c r="DD7" s="149" t="str">
        <f t="shared" si="1"/>
        <v>Prestar apoyo técnico a las dependencias en lo relacionado con la formulación y el desarrollo de las actividades asociadas al componente 2 del Plan Anticorrupción y Atención al Ciudadano.
Hacer monitoreo y seguimiento a las dependencias responsables de la ejecución de las actividades programadas en el componenente 2 del Plan Anticorrupción y Atención al Ciudadano.</v>
      </c>
      <c r="DE7" s="149" t="str">
        <f t="shared" si="1"/>
        <v>Facilitar al ciudadano el acceso a los trámites y servicios que brinda la entidad, con el ánimo de  simplificar el proceso y reducir tiempos y costos asociados y  generar esquemas no presenciales de acceso al trámite a través del uso de las herramientas tecnológicas</v>
      </c>
      <c r="DF7" s="149" t="str">
        <f t="shared" si="1"/>
        <v xml:space="preserve">Botón de transparencia de la página web de la Secretaría General
Plataforma SUIT
</v>
      </c>
      <c r="DG7" s="149" t="str">
        <f t="shared" si="1"/>
        <v>Suma</v>
      </c>
      <c r="DH7" s="149">
        <f t="shared" si="2"/>
        <v>2</v>
      </c>
      <c r="DI7" s="149">
        <f t="shared" si="3"/>
        <v>0</v>
      </c>
      <c r="DJ7" s="149">
        <f t="shared" si="4"/>
        <v>0</v>
      </c>
      <c r="DK7" s="149">
        <f t="shared" si="5"/>
        <v>0</v>
      </c>
      <c r="DL7" s="149">
        <f t="shared" si="6"/>
        <v>0</v>
      </c>
      <c r="DM7" s="149">
        <f t="shared" si="7"/>
        <v>2</v>
      </c>
      <c r="DN7" s="149">
        <f>+VLOOKUP($A7,consolidado,MATCH(DT$5,consolidadofila,0),0)</f>
        <v>0</v>
      </c>
      <c r="DO7" s="149">
        <f t="shared" si="8"/>
        <v>0</v>
      </c>
      <c r="DP7" s="149">
        <f t="shared" si="8"/>
        <v>0</v>
      </c>
      <c r="DQ7" s="149">
        <f t="shared" si="8"/>
        <v>0</v>
      </c>
      <c r="DR7" s="149">
        <f t="shared" si="8"/>
        <v>0</v>
      </c>
      <c r="DS7" s="149">
        <f t="shared" si="8"/>
        <v>100</v>
      </c>
      <c r="DT7" s="149">
        <f t="shared" si="8"/>
        <v>0</v>
      </c>
      <c r="DU7" s="149">
        <f t="shared" si="9"/>
        <v>100</v>
      </c>
      <c r="DV7" s="149" t="str">
        <f t="shared" si="9"/>
        <v/>
      </c>
      <c r="DW7" s="149" t="str">
        <f t="shared" si="9"/>
        <v/>
      </c>
      <c r="DX7" s="149" t="str">
        <f t="shared" si="9"/>
        <v>No Aplica</v>
      </c>
      <c r="DY7" s="149" t="str">
        <f t="shared" si="9"/>
        <v>No Aplica</v>
      </c>
      <c r="DZ7" s="149" t="str">
        <f t="shared" si="9"/>
        <v>No Aplica</v>
      </c>
      <c r="EA7" s="149" t="str">
        <f t="shared" si="9"/>
        <v/>
      </c>
      <c r="EB7" s="149" t="str">
        <f t="shared" si="9"/>
        <v/>
      </c>
      <c r="EC7" s="149" t="str">
        <f t="shared" si="9"/>
        <v>No Aplica</v>
      </c>
      <c r="ED7" s="149" t="str">
        <f t="shared" si="9"/>
        <v>No Aplica</v>
      </c>
      <c r="EE7" s="149" t="str">
        <f t="shared" si="10"/>
        <v>No Aplica</v>
      </c>
      <c r="EF7" s="149" t="str">
        <f t="shared" si="10"/>
        <v/>
      </c>
      <c r="EG7" s="149" t="str">
        <f t="shared" si="10"/>
        <v/>
      </c>
      <c r="EH7" s="149" t="str">
        <f t="shared" si="10"/>
        <v>No Aplica</v>
      </c>
      <c r="EI7" s="149" t="str">
        <f t="shared" si="10"/>
        <v>No Aplica</v>
      </c>
      <c r="EJ7" s="149" t="str">
        <f t="shared" si="10"/>
        <v>No Aplica</v>
      </c>
      <c r="EK7" s="149" t="str">
        <f t="shared" si="10"/>
        <v/>
      </c>
      <c r="EL7" s="149" t="str">
        <f t="shared" si="10"/>
        <v/>
      </c>
      <c r="EM7" s="149" t="str">
        <f t="shared" si="10"/>
        <v>No Aplica</v>
      </c>
      <c r="EN7" s="149" t="str">
        <f t="shared" si="10"/>
        <v>No Aplica</v>
      </c>
      <c r="EO7" s="149" t="str">
        <f t="shared" si="11"/>
        <v>No Aplica</v>
      </c>
      <c r="EP7" s="149">
        <f t="shared" si="11"/>
        <v>2</v>
      </c>
      <c r="EQ7" s="149">
        <f t="shared" si="11"/>
        <v>2</v>
      </c>
      <c r="ER7" s="149" t="str">
        <f t="shared" si="11"/>
        <v>Se realizó la racionalización de los trámites de la entidad a saber: Suscrpción y venta del registro distrital y publicación de actos administrativos en el registro distrital, (trámites a cargo de la Subdirección de Imprenta Distrital). El proceso contó con la actualización en la plataforma SUIT, con el respectivo monitoreo y seguimiento</v>
      </c>
      <c r="ES7" s="149" t="str">
        <f t="shared" si="11"/>
        <v>Por efectos de la emergencia sanitaria se han presentado dificultades para la ralización de las actividades pero se han podido solucionar con el uso de la tecnología</v>
      </c>
      <c r="ET7" s="149" t="str">
        <f t="shared" si="11"/>
        <v>La racionalización del proceso de suscripción y registro en el Sistema Único de Información de Trámites generó como beneficio, la simplificación del trámite ya que las solicitudes de "suscripción y venta del registro Distrital", se pueden realizar de manera virtual y conforme a la activación de los roles de funcionamiento que operan en el sistema por parte de las entidades, organos y organismos distritales.
La racionalización del proceso de suscripción y registro en el Sistema Único de Información de Trámites generó como beneficio, la simplificación del trámite ya que las solicitudes de publicación de actos o documentos administrativos, se puede realizar de manera virtual y conforme a la activación de los roles de funcionamiento que operan en el sistema por parte de las entidades, organos y organismos distritales.</v>
      </c>
      <c r="EU7" s="149">
        <f t="shared" si="11"/>
        <v>0</v>
      </c>
      <c r="EV7" s="149">
        <f t="shared" si="11"/>
        <v>0</v>
      </c>
      <c r="EW7" s="149" t="str">
        <f t="shared" si="11"/>
        <v>No Aplica</v>
      </c>
      <c r="EX7" s="149" t="str">
        <f t="shared" si="11"/>
        <v>No Aplica</v>
      </c>
      <c r="EY7" s="149" t="str">
        <f t="shared" si="11"/>
        <v>No Aplica</v>
      </c>
      <c r="EZ7" s="149">
        <f t="shared" si="11"/>
        <v>2</v>
      </c>
      <c r="FA7" s="149">
        <f t="shared" si="11"/>
        <v>2</v>
      </c>
      <c r="FB7" s="149" t="str">
        <f t="shared" si="11"/>
        <v/>
      </c>
      <c r="FC7" s="149" t="str">
        <f t="shared" si="11"/>
        <v/>
      </c>
      <c r="FD7" s="149" t="str">
        <f t="shared" si="12"/>
        <v/>
      </c>
      <c r="FE7" s="149" t="str">
        <f t="shared" si="12"/>
        <v/>
      </c>
      <c r="FF7" s="149" t="str">
        <f t="shared" si="12"/>
        <v/>
      </c>
      <c r="FG7" s="149" t="str">
        <f t="shared" si="12"/>
        <v/>
      </c>
      <c r="FH7" s="149" t="str">
        <f t="shared" si="12"/>
        <v/>
      </c>
      <c r="FI7" s="149" t="str">
        <f t="shared" si="12"/>
        <v/>
      </c>
      <c r="FJ7" s="149" t="str">
        <f t="shared" si="12"/>
        <v/>
      </c>
      <c r="FK7" s="149" t="str">
        <f t="shared" si="12"/>
        <v/>
      </c>
      <c r="FL7" s="149" t="str">
        <f t="shared" si="12"/>
        <v/>
      </c>
      <c r="FM7" s="149" t="str">
        <f t="shared" si="12"/>
        <v/>
      </c>
      <c r="FN7" s="149" t="str">
        <f t="shared" si="13"/>
        <v/>
      </c>
      <c r="FO7" s="149" t="str">
        <f t="shared" si="13"/>
        <v/>
      </c>
      <c r="FP7" s="149" t="str">
        <f t="shared" si="13"/>
        <v/>
      </c>
      <c r="FQ7" s="149" t="str">
        <f t="shared" si="13"/>
        <v/>
      </c>
      <c r="FR7" s="149" t="str">
        <f t="shared" si="13"/>
        <v/>
      </c>
      <c r="FS7" s="149" t="str">
        <f t="shared" si="13"/>
        <v/>
      </c>
      <c r="FT7" s="149" t="str">
        <f t="shared" si="13"/>
        <v/>
      </c>
      <c r="FU7" s="149" t="str">
        <f t="shared" si="13"/>
        <v/>
      </c>
      <c r="FV7" s="149" t="str">
        <f t="shared" si="13"/>
        <v/>
      </c>
      <c r="FW7" s="149" t="str">
        <f t="shared" si="13"/>
        <v/>
      </c>
      <c r="FX7" s="149" t="str">
        <f t="shared" si="14"/>
        <v/>
      </c>
      <c r="FY7" s="149" t="str">
        <f t="shared" si="14"/>
        <v/>
      </c>
      <c r="FZ7" s="149" t="str">
        <f t="shared" si="14"/>
        <v/>
      </c>
      <c r="GA7" s="149" t="str">
        <f t="shared" si="14"/>
        <v/>
      </c>
      <c r="GB7" s="149" t="str">
        <f t="shared" si="14"/>
        <v/>
      </c>
      <c r="GC7" s="149" t="str">
        <f t="shared" si="14"/>
        <v/>
      </c>
      <c r="GD7" s="149" t="str">
        <f t="shared" si="14"/>
        <v/>
      </c>
      <c r="GE7" s="149" t="str">
        <f t="shared" si="14"/>
        <v/>
      </c>
      <c r="GF7" s="149" t="str">
        <f>+IFERROR(IF(DW7=0,DV7/DO7,DV7/DW7),DV7)</f>
        <v/>
      </c>
      <c r="GG7" s="149" t="str">
        <f t="shared" ref="GG7:GG58" si="22">+IFERROR(IF(EB7=0,EA7/DP7,EA7/EB7),EA7)</f>
        <v/>
      </c>
      <c r="GH7" s="149" t="str">
        <f t="shared" ref="GH7:GH58" si="23">+IFERROR(IF(EG7=0,EF7/DQ7,EF7/EG7),EF7)</f>
        <v/>
      </c>
      <c r="GI7" s="149" t="str">
        <f t="shared" ref="GI7:GI58" si="24">+IFERROR(IF(EL7=0,EK7/DR7,EK7/EL7),EK7)</f>
        <v/>
      </c>
      <c r="GJ7" s="149">
        <f t="shared" ref="GJ7:GJ58" si="25">+IFERROR(IF(EQ7=0,EP7/DS7,EP7/EQ7),EP7)</f>
        <v>1</v>
      </c>
      <c r="GK7" s="149">
        <f>+IF(FA7=0,EZ7,EZ7/FA7)</f>
        <v>1</v>
      </c>
      <c r="GL7" s="149">
        <f t="shared" si="15"/>
        <v>0</v>
      </c>
      <c r="GM7" s="149">
        <f t="shared" si="16"/>
        <v>0</v>
      </c>
      <c r="GN7" s="149">
        <f t="shared" si="17"/>
        <v>0</v>
      </c>
      <c r="GO7" s="149">
        <f t="shared" si="18"/>
        <v>0</v>
      </c>
      <c r="GP7" s="149">
        <f t="shared" si="19"/>
        <v>100</v>
      </c>
      <c r="GQ7" s="149">
        <f t="shared" si="19"/>
        <v>0</v>
      </c>
      <c r="GR7" s="153">
        <f t="shared" ref="GR7:GR14" si="26">+IF(DG7="Suma",SUM(GL7:GQ7),AVERAGE(GL7:GQ7))</f>
        <v>100</v>
      </c>
      <c r="GS7" s="149" t="str">
        <f t="shared" ref="GS7:GS13" si="27">+IF(OR($A7=52,$A7=124),1,IFERROR(IF($X7="Creciente",IF($AB7="Número",SUM(GL7)/SUM(DO7)*($AX7-$AW7),SUM(GL7)/SUM(DO7))*($AX7-$AW7),IF(AND($DG7="Constante",$AB7="Porcentaje"),AVERAGEIF(GL7,"&lt;&gt;0")/AVERAGEIF(DO7,"&lt;&gt;0")*100,SUM(GL7)/SUM(DO7)*$DU7)),"No Programó"))</f>
        <v>No Programó</v>
      </c>
      <c r="GT7" s="149" t="str">
        <f>+IF(OR($A7=52,$A7=124),1,IFERROR(IF($X7="Creciente",IF($AB7="Número",SUM($GL7:GM7)/SUM($DO7:DP7)*($AX7-$AW7),SUM($GL7:GM7)/SUM($DO7:DP7))*($AX7-$AW7),IF($DG7="Creciente",GM7*GM7/GM7,IF(AND($DG7="Constante",$AB7="Porcentaje"),AVERAGEIF($GL7:GM7,"&lt;&gt;0")/AVERAGEIF($DO7:DP7,"&lt;&gt;0")*100,SUM($GL7:GM7)/SUM($DO7:DP7)*$DU7))),GS7))</f>
        <v>No Programó</v>
      </c>
      <c r="GU7" s="149" t="str">
        <f>+IF(OR($A7=52,$A7=124),1,IFERROR(IF($X7="Creciente",IF($AB7="Número",SUM($GL7:GN7)/SUM($DO7:DQ7)*($AX7-$AW7),SUM($GL7:GN7)/SUM($DO7:DQ7))*($AX7-$AW7),IF($DG7="Creciente",GN7*GN7/GN7,IF(AND($DG7="Constante",$AB7="Porcentaje"),AVERAGEIF($GL7:GN7,"&lt;&gt;0")/AVERAGEIF($DO7:DQ7,"&lt;&gt;0")*100,SUM($GL7:GN7)/SUM($DO7:DQ7)*$DU7))),GT7))</f>
        <v>No Programó</v>
      </c>
      <c r="GV7" s="149" t="str">
        <f>+IF(OR($A7=52,$A7=124),1,IFERROR(IF($X7="Creciente",IF($AB7="Número",SUM($GL7:GO7)/SUM($DO7:DR7)*($AX7-$AW7),SUM($GL7:GO7)/SUM($DO7:DR7))*($AX7-$AW7),IF($DG7="Creciente",GO7*GO7/GO7,IF(AND($DG7="Constante",$AB7="Porcentaje"),AVERAGEIF($GL7:GO7,"&lt;&gt;0")/AVERAGEIF($DO7:DR7,"&lt;&gt;0")*100,SUM($GL7:GO7)/SUM($DO7:DR7)*$DU7))),GU7))</f>
        <v>No Programó</v>
      </c>
      <c r="GW7" s="149">
        <f>+IF(OR($A7=52,$A7=124),1,IFERROR(IF($X7="Creciente",IF($AB7="Número",SUM($GL7:GP7)/SUM($DO7:DS7)*($AX7-$AW7),SUM($GL7:GP7)/SUM($DO7:DS7))*($AX7-$AW7),IF($DG7="Creciente",GP7*GP7/GP7,IF(AND($DG7="Constante",$AB7="Porcentaje"),AVERAGEIF($GL7:GP7,"&lt;&gt;0")/AVERAGEIF($DO7:DS7,"&lt;&gt;0")*100,SUM($GL7:GP7)/SUM($DO7:DS7)*$DU7))),GV7))</f>
        <v>100</v>
      </c>
      <c r="GX7" s="149">
        <f>+IF(OR($A7=52,$A7=124),1,IFERROR(IF($X7="Creciente",IF($AB7="Número",SUM($GL7:GQ7)/SUM($DO7:DT7)*($AX7-$AW7),SUM($GL7:GQ7)/SUM($DO7:DT7))*($AX7-$AW7),IF($DG7="Creciente",GQ7*GQ7/GQ7,IF(AND($DG7="Constante",$AB7="Porcentaje"),AVERAGEIF($GL7:GQ7,"&lt;&gt;0")/AVERAGEIF($DO7:DT7,"&lt;&gt;0")*100,SUM($GL7:GQ7)/SUM($DO7:DT7)*$DU7))),GW7))</f>
        <v>100</v>
      </c>
      <c r="GY7" s="149" t="str">
        <f t="shared" ref="GY7:GY58" si="28">+DC7</f>
        <v>Este indicador mide el avance en la ejecución de las actividades programadas en la vigencia, para el Componente 2 del Plan Anticorrupción y Atención al Ciudadano en la Secretaria General de la Alcaldía Mayor de Bogotá D.C.</v>
      </c>
      <c r="GZ7" s="149" t="str">
        <f t="shared" ref="GZ7:GZ58" si="29">+DD7</f>
        <v>Prestar apoyo técnico a las dependencias en lo relacionado con la formulación y el desarrollo de las actividades asociadas al componente 2 del Plan Anticorrupción y Atención al Ciudadano.
Hacer monitoreo y seguimiento a las dependencias responsables de la ejecución de las actividades programadas en el componenente 2 del Plan Anticorrupción y Atención al Ciudadano.</v>
      </c>
      <c r="HA7" s="149" t="str">
        <f t="shared" ref="HA7:HA58" si="30">+DE7</f>
        <v>Facilitar al ciudadano el acceso a los trámites y servicios que brinda la entidad, con el ánimo de  simplificar el proceso y reducir tiempos y costos asociados y  generar esquemas no presenciales de acceso al trámite a través del uso de las herramientas tecnológicas</v>
      </c>
      <c r="HB7" s="149" t="str">
        <f t="shared" ref="HB7:HB58" si="31">+DF7</f>
        <v xml:space="preserve">Botón de transparencia de la página web de la Secretaría General
Plataforma SUIT
</v>
      </c>
      <c r="HC7" s="149" t="str">
        <f t="shared" si="20"/>
        <v>Cumple</v>
      </c>
      <c r="HD7" s="149" t="str">
        <f t="shared" si="20"/>
        <v>Cumplido</v>
      </c>
      <c r="HE7" s="149" t="str">
        <f t="shared" si="20"/>
        <v>Adecuado</v>
      </c>
      <c r="HF7" s="149" t="str">
        <f t="shared" si="20"/>
        <v>Coherente</v>
      </c>
      <c r="HG7" s="149" t="str">
        <f t="shared" si="20"/>
        <v>Concuerda</v>
      </c>
      <c r="HH7" s="149" t="str">
        <f t="shared" si="20"/>
        <v>Indeterminado</v>
      </c>
      <c r="HI7" s="149" t="str">
        <f t="shared" si="20"/>
        <v>No aplica</v>
      </c>
      <c r="HJ7" s="149" t="str">
        <f t="shared" si="20"/>
        <v>Adecuado</v>
      </c>
      <c r="HK7" s="149" t="str">
        <f t="shared" si="20"/>
        <v>Oportuna</v>
      </c>
      <c r="HL7" s="149" t="str">
        <f t="shared" si="20"/>
        <v xml:space="preserve">El reporte de las evidencias debería guardar correspondencia con el número de las actividades ejecutadas, de manera que sean fácilmente verificables. Para el mes de mayo se reportan 2 actividades realizadas de 2 programadas y en una sola carpeta de evidencias que contiene 20 archivos. El avance cualitativo no señala a qué actividades corresponden el avance del indicador, lo que podría facilitar el cotejo de evidencias. Dado que se ha cumplido con el indicador no debería hacerse una declaración de dificultades en el avance. </v>
      </c>
      <c r="HM7" s="149" t="str">
        <f t="shared" si="21"/>
        <v>Fernando Escobar Mendoza</v>
      </c>
      <c r="HN7" s="149" t="str">
        <f t="shared" si="21"/>
        <v>No aplica</v>
      </c>
      <c r="HO7" s="149" t="str">
        <f t="shared" si="21"/>
        <v>No programó</v>
      </c>
      <c r="HP7" s="149" t="str">
        <f t="shared" si="21"/>
        <v>No aplica</v>
      </c>
      <c r="HQ7" s="149" t="str">
        <f t="shared" si="21"/>
        <v>No aplica</v>
      </c>
      <c r="HR7" s="149" t="str">
        <f t="shared" si="21"/>
        <v>No aplica</v>
      </c>
      <c r="HS7" s="149" t="str">
        <f t="shared" si="21"/>
        <v>No aplica</v>
      </c>
      <c r="HT7" s="149" t="str">
        <f t="shared" si="21"/>
        <v>No aplica</v>
      </c>
      <c r="HU7" s="149" t="str">
        <f t="shared" si="21"/>
        <v>No aplica</v>
      </c>
      <c r="HV7" s="149" t="str">
        <f t="shared" si="21"/>
        <v>Oportuna</v>
      </c>
      <c r="HW7" s="149" t="str">
        <f t="shared" si="21"/>
        <v>Niniguna</v>
      </c>
      <c r="HX7" s="149" t="str">
        <f t="shared" si="21"/>
        <v>Fernando Escobar Mendoza</v>
      </c>
    </row>
    <row r="8" spans="1:241" s="149" customFormat="1" x14ac:dyDescent="0.3">
      <c r="A8" s="145" t="s">
        <v>1170</v>
      </c>
      <c r="B8" s="146" t="s">
        <v>1144</v>
      </c>
      <c r="C8" s="146" t="s">
        <v>1144</v>
      </c>
      <c r="D8" s="146" t="s">
        <v>1144</v>
      </c>
      <c r="E8" s="146" t="s">
        <v>1144</v>
      </c>
      <c r="F8" s="136" t="s">
        <v>1171</v>
      </c>
      <c r="G8" s="146" t="s">
        <v>1144</v>
      </c>
      <c r="H8" s="146" t="s">
        <v>1144</v>
      </c>
      <c r="I8" s="135" t="s">
        <v>1146</v>
      </c>
      <c r="J8" s="135" t="s">
        <v>105</v>
      </c>
      <c r="K8" s="135" t="s">
        <v>106</v>
      </c>
      <c r="L8" s="135" t="s">
        <v>107</v>
      </c>
      <c r="M8" s="135" t="s">
        <v>1147</v>
      </c>
      <c r="N8" s="135" t="s">
        <v>1148</v>
      </c>
      <c r="O8" s="147" t="s">
        <v>1149</v>
      </c>
      <c r="P8" s="148"/>
      <c r="Q8" s="135" t="s">
        <v>1172</v>
      </c>
      <c r="R8" s="135" t="s">
        <v>1173</v>
      </c>
      <c r="S8" s="135" t="s">
        <v>1152</v>
      </c>
      <c r="T8" s="135" t="s">
        <v>1153</v>
      </c>
      <c r="U8" s="135" t="s">
        <v>1154</v>
      </c>
      <c r="V8" s="135" t="s">
        <v>1174</v>
      </c>
      <c r="W8" s="148" t="s">
        <v>601</v>
      </c>
      <c r="X8" s="135" t="s">
        <v>601</v>
      </c>
      <c r="Y8" s="135" t="s">
        <v>1175</v>
      </c>
      <c r="Z8" s="135" t="s">
        <v>1176</v>
      </c>
      <c r="AA8" s="135" t="s">
        <v>1177</v>
      </c>
      <c r="AB8" s="135" t="s">
        <v>602</v>
      </c>
      <c r="AC8" s="135" t="s">
        <v>1159</v>
      </c>
      <c r="AD8" s="135" t="s">
        <v>1160</v>
      </c>
      <c r="AE8" s="135">
        <v>2020</v>
      </c>
      <c r="AF8" s="119">
        <v>100</v>
      </c>
      <c r="AG8" s="149">
        <v>2019</v>
      </c>
      <c r="AH8" s="118" t="s">
        <v>1161</v>
      </c>
      <c r="AI8" s="118" t="s">
        <v>1161</v>
      </c>
      <c r="AJ8" s="118" t="s">
        <v>1161</v>
      </c>
      <c r="AK8" s="118" t="s">
        <v>1161</v>
      </c>
      <c r="AL8" s="118" t="s">
        <v>1161</v>
      </c>
      <c r="AM8" s="118" t="s">
        <v>1161</v>
      </c>
      <c r="AN8" s="146" t="s">
        <v>1144</v>
      </c>
      <c r="AO8" s="146" t="s">
        <v>1144</v>
      </c>
      <c r="AP8" s="146" t="s">
        <v>1144</v>
      </c>
      <c r="AQ8" s="146" t="s">
        <v>1144</v>
      </c>
      <c r="AR8" s="146" t="s">
        <v>1144</v>
      </c>
      <c r="AS8" s="150" t="s">
        <v>1144</v>
      </c>
      <c r="AT8" s="130" t="s">
        <v>1161</v>
      </c>
      <c r="AU8" s="130" t="s">
        <v>1161</v>
      </c>
      <c r="AV8" s="130" t="s">
        <v>1161</v>
      </c>
      <c r="AW8" s="130" t="s">
        <v>1161</v>
      </c>
      <c r="AX8" s="131">
        <v>100</v>
      </c>
      <c r="AY8" s="151" t="s">
        <v>1144</v>
      </c>
      <c r="AZ8" s="146" t="s">
        <v>1144</v>
      </c>
      <c r="BA8" s="146" t="s">
        <v>1144</v>
      </c>
      <c r="BB8" s="146" t="s">
        <v>1144</v>
      </c>
      <c r="BC8" s="146" t="s">
        <v>1144</v>
      </c>
      <c r="BD8" s="146">
        <v>0</v>
      </c>
      <c r="BE8" s="146" t="s">
        <v>1144</v>
      </c>
      <c r="BF8" s="146" t="s">
        <v>1144</v>
      </c>
      <c r="BG8" s="146" t="s">
        <v>1144</v>
      </c>
      <c r="BH8" s="146" t="s">
        <v>1144</v>
      </c>
      <c r="BI8" s="146" t="s">
        <v>1144</v>
      </c>
      <c r="BJ8" s="146">
        <v>0</v>
      </c>
      <c r="BK8" s="146" t="s">
        <v>1144</v>
      </c>
      <c r="BL8" s="146" t="s">
        <v>1144</v>
      </c>
      <c r="BM8" s="146" t="s">
        <v>1144</v>
      </c>
      <c r="BN8" s="146" t="s">
        <v>1144</v>
      </c>
      <c r="BO8" s="146" t="s">
        <v>1144</v>
      </c>
      <c r="BP8" s="146" t="s">
        <v>1144</v>
      </c>
      <c r="BQ8" s="146" t="s">
        <v>1144</v>
      </c>
      <c r="BR8" s="146" t="s">
        <v>1144</v>
      </c>
      <c r="BS8" s="146" t="s">
        <v>1144</v>
      </c>
      <c r="BT8" s="146" t="s">
        <v>1144</v>
      </c>
      <c r="BU8" s="146" t="s">
        <v>1144</v>
      </c>
      <c r="BV8" s="146" t="s">
        <v>1144</v>
      </c>
      <c r="BW8" s="146" t="s">
        <v>1144</v>
      </c>
      <c r="BX8" s="146" t="s">
        <v>1144</v>
      </c>
      <c r="BY8" s="146" t="s">
        <v>1144</v>
      </c>
      <c r="BZ8" s="146" t="s">
        <v>1144</v>
      </c>
      <c r="CA8" s="146" t="s">
        <v>1144</v>
      </c>
      <c r="CB8" s="146" t="s">
        <v>1144</v>
      </c>
      <c r="CC8" s="146" t="s">
        <v>1144</v>
      </c>
      <c r="CD8" s="146" t="s">
        <v>1144</v>
      </c>
      <c r="CE8" s="146" t="s">
        <v>1144</v>
      </c>
      <c r="CF8" s="149">
        <v>1</v>
      </c>
      <c r="CG8" s="146" t="s">
        <v>1144</v>
      </c>
      <c r="CH8" s="146" t="s">
        <v>1144</v>
      </c>
      <c r="CI8" s="146" t="s">
        <v>1144</v>
      </c>
      <c r="CJ8" s="146" t="s">
        <v>1144</v>
      </c>
      <c r="CK8" s="146" t="s">
        <v>1144</v>
      </c>
      <c r="CL8" s="146" t="s">
        <v>1144</v>
      </c>
      <c r="CM8" s="146" t="s">
        <v>1144</v>
      </c>
      <c r="CN8" s="146" t="s">
        <v>1144</v>
      </c>
      <c r="CO8" s="146" t="s">
        <v>1144</v>
      </c>
      <c r="CP8" s="146" t="s">
        <v>1144</v>
      </c>
      <c r="CQ8" s="146" t="s">
        <v>1144</v>
      </c>
      <c r="CR8" s="146" t="s">
        <v>1144</v>
      </c>
      <c r="CS8" s="146" t="s">
        <v>1144</v>
      </c>
      <c r="CT8" s="146" t="s">
        <v>1144</v>
      </c>
      <c r="CU8" s="146" t="s">
        <v>1144</v>
      </c>
      <c r="CV8" s="146" t="s">
        <v>1144</v>
      </c>
      <c r="CW8" s="146" t="s">
        <v>1144</v>
      </c>
      <c r="CX8" s="146" t="s">
        <v>1144</v>
      </c>
      <c r="CY8" s="146" t="s">
        <v>1144</v>
      </c>
      <c r="CZ8" s="146" t="s">
        <v>1144</v>
      </c>
      <c r="DA8" s="146" t="s">
        <v>1144</v>
      </c>
      <c r="DB8" s="152" t="str">
        <f t="shared" ref="DB8:DB69" si="32">IF(BW8="No Aplica","",$BW$5)&amp;IF(BX8="No Aplica","",$BX$5)&amp;IF(BY8="No Aplica","",$BY$5)&amp;IF(BZ8="No Aplica","",$BZ$5)&amp;IF(CA8="No Aplica","",$CA$5)&amp;IF(CB8="No Aplica","",CB8&amp;" ")&amp;IF(CC8="No Aplica","",CC8&amp;", ")&amp;IF(CD8="No Aplica","",$CD$5)&amp;IF(CE8="No Aplica","",$CE$5&amp;CE8&amp;", ")&amp;IF(CF8="No Aplica","",$CF$5)&amp;IF(CG8="No Aplica","",$CG$5)&amp;IF(CH8="No Aplica","",$CH$5)&amp;IF(CI8="No Aplica","",$CI$5)&amp;IF(CJ8="No Aplica","",$CJ$5)&amp;IF(CK8="No Aplica","",$CK$5)&amp;IF(CL8="No Aplica","",$CL$5)&amp;IF(CM8="No Aplica","",$CM$5)&amp;IF(CN8="No Aplica","",$CN$5)&amp;IF(CO8="No Aplica","",$CO$5)&amp;IF(CP8="No Aplica","",$CP$5)&amp;IF(CQ8="No Aplica","",$CQ$5)&amp;IF(CR8="No Aplica","",$CR$5)&amp;IF(CS8="No Aplica","",$CS$5)&amp;IF(CT8="No Aplica","",$CT$5)&amp;IF(CU8="No Aplica","",$CU$5)&amp;IF(CV8="No Aplica","",$CV$5)&amp;IF(CW8="No Aplica","",CW8&amp;", ")&amp;IF(CX8="No Aplica","",$CX$5&amp;CX8&amp;", ")&amp;IF(CY8="No Aplica","",$CY$5)&amp;IF(CZ8="No Aplica","",$CZ$5)&amp;IF(DA8="No Aplica","",$DA$5)</f>
        <v xml:space="preserve">PAAC, </v>
      </c>
      <c r="DC8" s="149" t="str">
        <f t="shared" si="1"/>
        <v>Este indicador mide el avance en la ejecución de las actividades programadas en la vigencia, para el Componente 3 del Plan Anticorrupción y Atención al Ciudadano en la Secretaria General de la Alcaldía Mayor de Bogotá D.C.</v>
      </c>
      <c r="DD8" s="149" t="str">
        <f t="shared" si="1"/>
        <v>Prestar apoyo técnico a las dependencias en lo relacionado con la formulación y el desarrollo de las actividades asociadas al componente 3 del Plan Anticorrupción y Atención al Ciudadano.
Hacer monitoreo y seguimiento a las dependencias responsables de la ejecución de las actividades programadas en el componenente 3 del Plan Anticorrupción y Atención al Ciudadano.</v>
      </c>
      <c r="DE8" s="149" t="str">
        <f t="shared" si="1"/>
        <v>Afianzar la relación entre la ciudadanía y la entidad, donde se informe, explique y se dé a conocer los resultados de la gestión al ciudadano, la sociedad civil, otras entidades públicas y a los organismos de control</v>
      </c>
      <c r="DF8" s="149" t="str">
        <f t="shared" si="1"/>
        <v>Botón de transparencia de la página web de la Secretaría General
Reportes de las dependencias</v>
      </c>
      <c r="DG8" s="149" t="str">
        <f t="shared" si="1"/>
        <v>Suma</v>
      </c>
      <c r="DH8" s="149">
        <f t="shared" si="2"/>
        <v>21</v>
      </c>
      <c r="DI8" s="149">
        <f t="shared" si="3"/>
        <v>1</v>
      </c>
      <c r="DJ8" s="149">
        <f t="shared" si="4"/>
        <v>2</v>
      </c>
      <c r="DK8" s="149">
        <f t="shared" si="5"/>
        <v>2</v>
      </c>
      <c r="DL8" s="149">
        <f t="shared" si="6"/>
        <v>1</v>
      </c>
      <c r="DM8" s="149">
        <f t="shared" si="7"/>
        <v>1</v>
      </c>
      <c r="DN8" s="149">
        <f>+VLOOKUP($A8,consolidado,MATCH(DT$5,consolidadofila,0),0)</f>
        <v>2</v>
      </c>
      <c r="DO8" s="149">
        <f t="shared" si="8"/>
        <v>4.7619047619047619</v>
      </c>
      <c r="DP8" s="149">
        <f t="shared" si="8"/>
        <v>9.5238095238095237</v>
      </c>
      <c r="DQ8" s="149">
        <f t="shared" si="8"/>
        <v>9.5238095238095237</v>
      </c>
      <c r="DR8" s="149">
        <f t="shared" si="8"/>
        <v>4.7619047619047619</v>
      </c>
      <c r="DS8" s="149">
        <f t="shared" si="8"/>
        <v>4.7619047619047619</v>
      </c>
      <c r="DT8" s="149">
        <f t="shared" si="8"/>
        <v>9.5238095238095237</v>
      </c>
      <c r="DU8" s="149">
        <f t="shared" si="9"/>
        <v>100</v>
      </c>
      <c r="DV8" s="149">
        <f t="shared" si="9"/>
        <v>1</v>
      </c>
      <c r="DW8" s="149">
        <f t="shared" si="9"/>
        <v>1</v>
      </c>
      <c r="DX8" s="149" t="str">
        <f t="shared" si="9"/>
        <v xml:space="preserve">La ejecución se ha venido realizando conforme a la programción establecida con el ánimo de fortalecer  la cultura de rendición de cuentas en la entidad para ello se realizaron mesas territoriales de diálogo ciudadano </v>
      </c>
      <c r="DY8" s="149" t="str">
        <f t="shared" si="9"/>
        <v>No se presentaron retrasos o dificultades para la realización de las actividades</v>
      </c>
      <c r="DZ8" s="149" t="str">
        <f t="shared" si="9"/>
        <v>Las actividades realizadas contribuyen a fortalecer los procesos de rendición de cuentas en los diferentes espacios  de particiacón ciudadana</v>
      </c>
      <c r="EA8" s="149">
        <f t="shared" si="9"/>
        <v>2</v>
      </c>
      <c r="EB8" s="149">
        <f t="shared" si="9"/>
        <v>2</v>
      </c>
      <c r="EC8" s="149" t="str">
        <f t="shared" si="9"/>
        <v>La ejecución se ha venido realizando conforme a la programción establecida con el ánimo de fortalecer  la cultura de rendición de cuentas en la entidad para ello se realizaron mesas territoriales de diálogo ciudadano y se publicó el informe de peticiones ciudadanas para el año 2019</v>
      </c>
      <c r="ED8" s="149" t="str">
        <f t="shared" si="9"/>
        <v>No se presentaron retrasos o dificultades para la realización de las actividades</v>
      </c>
      <c r="EE8" s="149" t="str">
        <f t="shared" si="10"/>
        <v>Las actividades realizadas contribuyen a fortalecer los procesos de rendición de cuentas en los diferentes espacios  de particiacón ciudadana</v>
      </c>
      <c r="EF8" s="149">
        <f t="shared" si="10"/>
        <v>2</v>
      </c>
      <c r="EG8" s="149">
        <f t="shared" si="10"/>
        <v>2</v>
      </c>
      <c r="EH8" s="149" t="str">
        <f t="shared" si="10"/>
        <v>La ejecución se ha venido realizando conforme a la programción establecida con el ánimo de fortalecer  la cultura de rendición de cuentas en la entidad para ello se realizaron mesas territoriales de diálogo ciudadano  y formulación del Plan de Participación Ciudadana</v>
      </c>
      <c r="EI8" s="149" t="str">
        <f t="shared" si="10"/>
        <v>Por efectos de la emergencia sanitaria se han presentado dificultades para la ralización de las actividades pero se han podido solucionar con el uso de la tecnología. Se identificó que la actividades de formular el Plan de Participación Ciudadana se podía fortalecer por lo cual se creó en la siguiente versión del PAAC las actividades de validar, socilializar y publicar el plan.</v>
      </c>
      <c r="EJ8" s="149" t="str">
        <f t="shared" si="10"/>
        <v>Las actividades realizadas contribuyen a fortalecer los procesos de rendición de cuentas en los diferentes espacios  de particiacón ciudadana</v>
      </c>
      <c r="EK8" s="149">
        <f t="shared" si="10"/>
        <v>1</v>
      </c>
      <c r="EL8" s="149">
        <f t="shared" si="10"/>
        <v>1</v>
      </c>
      <c r="EM8" s="149" t="str">
        <f t="shared" si="10"/>
        <v xml:space="preserve">La ejecución se ha venido realizando conforme a la programción establecida con el ánimo de fortalecer  la cultura de rendición de cuentas en la entidad para ello se elaboró y publicó la Estrategia de Rendición de Cuentas </v>
      </c>
      <c r="EN8" s="149" t="str">
        <f t="shared" si="10"/>
        <v>Por efectos de la emergencia sanitaria se han presentado dificultades para la ralización de las actividades pero se han podido solucionar con el uso de la tecnología</v>
      </c>
      <c r="EO8" s="149" t="str">
        <f t="shared" si="11"/>
        <v>Las actividades realizadas contribuyen a fortalecer los procesos de rendición de cuentas en los diferentes espacios  de particiacón ciudadana</v>
      </c>
      <c r="EP8" s="149">
        <f t="shared" si="11"/>
        <v>1</v>
      </c>
      <c r="EQ8" s="149">
        <f t="shared" si="11"/>
        <v>1</v>
      </c>
      <c r="ER8" s="149" t="str">
        <f t="shared" si="11"/>
        <v xml:space="preserve">La ejecución se ha venido realizando conforme a la programción establecida con el ánimo de fortalecer  la cultura de rendición de cuentas en la entidad para ello se realizaron mesas territoriales de diálogo ciudadano </v>
      </c>
      <c r="ES8" s="149" t="str">
        <f t="shared" si="11"/>
        <v>Por efectos de la emergencia sanitaria se han presentado dificultades para la ralización de las actividades pero se han podido solucionar con el uso de la tecnología</v>
      </c>
      <c r="ET8" s="149" t="str">
        <f t="shared" si="11"/>
        <v>Las actividades realizadas contribuyen a fortalecer los procesos de rendición de cuentas en los diferentes espacios  de particiacón ciudadana</v>
      </c>
      <c r="EU8" s="149">
        <f t="shared" si="11"/>
        <v>2</v>
      </c>
      <c r="EV8" s="149">
        <f t="shared" si="11"/>
        <v>2</v>
      </c>
      <c r="EW8" s="149" t="str">
        <f t="shared" si="11"/>
        <v>Se realizaron mesas territoriales de diálogo ciudadano y se aprobó el Plan de Participación Ciudadana por parte del Comité Institucional de Gestión y Desempeño</v>
      </c>
      <c r="EX8" s="149" t="str">
        <f t="shared" si="11"/>
        <v>Ninguna</v>
      </c>
      <c r="EY8" s="149" t="str">
        <f t="shared" si="11"/>
        <v>Los mmiembros de cada una de las mesas tuvieron la oportunidad de presentar observaciones, inquietudes y sugerenciaas con el ánimo de crecer en la obtención de los objetivos propuestos. La entidad tiene un Plan de participación ciudadana aprobado como herramienta para fortalecer los procesos de participación y rendición de cuentas</v>
      </c>
      <c r="EZ8" s="149">
        <f t="shared" si="11"/>
        <v>9</v>
      </c>
      <c r="FA8" s="149">
        <f t="shared" si="11"/>
        <v>9</v>
      </c>
      <c r="FB8" s="149" t="str">
        <f t="shared" si="11"/>
        <v/>
      </c>
      <c r="FC8" s="149" t="str">
        <f t="shared" si="11"/>
        <v/>
      </c>
      <c r="FD8" s="149" t="str">
        <f t="shared" si="12"/>
        <v/>
      </c>
      <c r="FE8" s="149" t="str">
        <f t="shared" si="12"/>
        <v/>
      </c>
      <c r="FF8" s="149" t="str">
        <f t="shared" si="12"/>
        <v/>
      </c>
      <c r="FG8" s="149" t="str">
        <f t="shared" si="12"/>
        <v/>
      </c>
      <c r="FH8" s="149" t="str">
        <f t="shared" si="12"/>
        <v/>
      </c>
      <c r="FI8" s="149" t="str">
        <f t="shared" si="12"/>
        <v/>
      </c>
      <c r="FJ8" s="149" t="str">
        <f t="shared" si="12"/>
        <v/>
      </c>
      <c r="FK8" s="149" t="str">
        <f t="shared" si="12"/>
        <v/>
      </c>
      <c r="FL8" s="149" t="str">
        <f t="shared" si="12"/>
        <v/>
      </c>
      <c r="FM8" s="149" t="str">
        <f t="shared" si="12"/>
        <v/>
      </c>
      <c r="FN8" s="149" t="str">
        <f t="shared" si="13"/>
        <v/>
      </c>
      <c r="FO8" s="149" t="str">
        <f t="shared" si="13"/>
        <v/>
      </c>
      <c r="FP8" s="149" t="str">
        <f t="shared" si="13"/>
        <v/>
      </c>
      <c r="FQ8" s="149" t="str">
        <f t="shared" si="13"/>
        <v/>
      </c>
      <c r="FR8" s="149" t="str">
        <f t="shared" si="13"/>
        <v/>
      </c>
      <c r="FS8" s="149" t="str">
        <f t="shared" si="13"/>
        <v/>
      </c>
      <c r="FT8" s="149" t="str">
        <f t="shared" si="13"/>
        <v/>
      </c>
      <c r="FU8" s="149" t="str">
        <f t="shared" si="13"/>
        <v/>
      </c>
      <c r="FV8" s="149" t="str">
        <f t="shared" si="13"/>
        <v/>
      </c>
      <c r="FW8" s="149" t="str">
        <f t="shared" si="13"/>
        <v/>
      </c>
      <c r="FX8" s="149" t="str">
        <f t="shared" si="14"/>
        <v/>
      </c>
      <c r="FY8" s="149" t="str">
        <f t="shared" si="14"/>
        <v/>
      </c>
      <c r="FZ8" s="149" t="str">
        <f t="shared" si="14"/>
        <v/>
      </c>
      <c r="GA8" s="149" t="str">
        <f t="shared" si="14"/>
        <v/>
      </c>
      <c r="GB8" s="149" t="str">
        <f t="shared" si="14"/>
        <v/>
      </c>
      <c r="GC8" s="149" t="str">
        <f t="shared" si="14"/>
        <v/>
      </c>
      <c r="GD8" s="149" t="str">
        <f t="shared" si="14"/>
        <v/>
      </c>
      <c r="GE8" s="149" t="str">
        <f t="shared" si="14"/>
        <v/>
      </c>
      <c r="GF8" s="149">
        <f t="shared" ref="GF8:GF58" si="33">+IFERROR(IF(DW8=0,DV8/DO8,DV8/DW8),DV8)</f>
        <v>1</v>
      </c>
      <c r="GG8" s="149">
        <f t="shared" si="22"/>
        <v>1</v>
      </c>
      <c r="GH8" s="149">
        <f t="shared" si="23"/>
        <v>1</v>
      </c>
      <c r="GI8" s="149">
        <f t="shared" si="24"/>
        <v>1</v>
      </c>
      <c r="GJ8" s="149">
        <f t="shared" si="25"/>
        <v>1</v>
      </c>
      <c r="GK8" s="149">
        <f t="shared" ref="GK8:GK58" si="34">+IF(FA8=0,EZ8,EZ8/FA8)</f>
        <v>1</v>
      </c>
      <c r="GL8" s="149">
        <f t="shared" si="15"/>
        <v>4.7619047619047619</v>
      </c>
      <c r="GM8" s="149">
        <f t="shared" si="16"/>
        <v>9.5238095238095237</v>
      </c>
      <c r="GN8" s="149">
        <f t="shared" si="17"/>
        <v>9.5238095238095237</v>
      </c>
      <c r="GO8" s="149">
        <f t="shared" si="18"/>
        <v>4.7619047619047619</v>
      </c>
      <c r="GP8" s="149">
        <f t="shared" si="19"/>
        <v>4.7619047619047619</v>
      </c>
      <c r="GQ8" s="149">
        <f t="shared" si="19"/>
        <v>9.5238095238095237</v>
      </c>
      <c r="GR8" s="153">
        <f t="shared" si="26"/>
        <v>42.857142857142861</v>
      </c>
      <c r="GS8" s="149">
        <f t="shared" si="27"/>
        <v>100</v>
      </c>
      <c r="GT8" s="149">
        <f>+IF(OR($A8=52,$A8=124),1,IFERROR(IF($X8="Creciente",IF($AB8="Número",SUM($GL8:GM8)/SUM($DO8:DP8)*($AX8-$AW8),SUM($GL8:GM8)/SUM($DO8:DP8))*($AX8-$AW8),IF($DG8="Creciente",GM8*GM8/GM8,IF(AND($DG8="Constante",$AB8="Porcentaje"),AVERAGEIF($GL8:GM8,"&lt;&gt;0")/AVERAGEIF($DO8:DP8,"&lt;&gt;0")*100,SUM($GL8:GM8)/SUM($DO8:DP8)*$DU8))),GS8))</f>
        <v>100</v>
      </c>
      <c r="GU8" s="149">
        <f>+IF(OR($A8=52,$A8=124),1,IFERROR(IF($X8="Creciente",IF($AB8="Número",SUM($GL8:GN8)/SUM($DO8:DQ8)*($AX8-$AW8),SUM($GL8:GN8)/SUM($DO8:DQ8))*($AX8-$AW8),IF($DG8="Creciente",GN8*GN8/GN8,IF(AND($DG8="Constante",$AB8="Porcentaje"),AVERAGEIF($GL8:GN8,"&lt;&gt;0")/AVERAGEIF($DO8:DQ8,"&lt;&gt;0")*100,SUM($GL8:GN8)/SUM($DO8:DQ8)*$DU8))),GT8))</f>
        <v>100</v>
      </c>
      <c r="GV8" s="149">
        <f>+IF(OR($A8=52,$A8=124),1,IFERROR(IF($X8="Creciente",IF($AB8="Número",SUM($GL8:GO8)/SUM($DO8:DR8)*($AX8-$AW8),SUM($GL8:GO8)/SUM($DO8:DR8))*($AX8-$AW8),IF($DG8="Creciente",GO8*GO8/GO8,IF(AND($DG8="Constante",$AB8="Porcentaje"),AVERAGEIF($GL8:GO8,"&lt;&gt;0")/AVERAGEIF($DO8:DR8,"&lt;&gt;0")*100,SUM($GL8:GO8)/SUM($DO8:DR8)*$DU8))),GU8))</f>
        <v>100</v>
      </c>
      <c r="GW8" s="149">
        <f>+IF(OR($A8=52,$A8=124),1,IFERROR(IF($X8="Creciente",IF($AB8="Número",SUM($GL8:GP8)/SUM($DO8:DS8)*($AX8-$AW8),SUM($GL8:GP8)/SUM($DO8:DS8))*($AX8-$AW8),IF($DG8="Creciente",GP8*GP8/GP8,IF(AND($DG8="Constante",$AB8="Porcentaje"),AVERAGEIF($GL8:GP8,"&lt;&gt;0")/AVERAGEIF($DO8:DS8,"&lt;&gt;0")*100,SUM($GL8:GP8)/SUM($DO8:DS8)*$DU8))),GV8))</f>
        <v>100</v>
      </c>
      <c r="GX8" s="149">
        <f>+IF(OR($A8=52,$A8=124),1,IFERROR(IF($X8="Creciente",IF($AB8="Número",SUM($GL8:GQ8)/SUM($DO8:DT8)*($AX8-$AW8),SUM($GL8:GQ8)/SUM($DO8:DT8))*($AX8-$AW8),IF($DG8="Creciente",GQ8*GQ8/GQ8,IF(AND($DG8="Constante",$AB8="Porcentaje"),AVERAGEIF($GL8:GQ8,"&lt;&gt;0")/AVERAGEIF($DO8:DT8,"&lt;&gt;0")*100,SUM($GL8:GQ8)/SUM($DO8:DT8)*$DU8))),GW8))</f>
        <v>100</v>
      </c>
      <c r="GY8" s="149" t="str">
        <f t="shared" si="28"/>
        <v>Este indicador mide el avance en la ejecución de las actividades programadas en la vigencia, para el Componente 3 del Plan Anticorrupción y Atención al Ciudadano en la Secretaria General de la Alcaldía Mayor de Bogotá D.C.</v>
      </c>
      <c r="GZ8" s="149" t="str">
        <f t="shared" si="29"/>
        <v>Prestar apoyo técnico a las dependencias en lo relacionado con la formulación y el desarrollo de las actividades asociadas al componente 3 del Plan Anticorrupción y Atención al Ciudadano.
Hacer monitoreo y seguimiento a las dependencias responsables de la ejecución de las actividades programadas en el componenente 3 del Plan Anticorrupción y Atención al Ciudadano.</v>
      </c>
      <c r="HA8" s="149" t="str">
        <f t="shared" si="30"/>
        <v>Afianzar la relación entre la ciudadanía y la entidad, donde se informe, explique y se dé a conocer los resultados de la gestión al ciudadano, la sociedad civil, otras entidades públicas y a los organismos de control</v>
      </c>
      <c r="HB8" s="149" t="str">
        <f t="shared" si="31"/>
        <v>Botón de transparencia de la página web de la Secretaría General
Reportes de las dependencias</v>
      </c>
      <c r="HC8" s="149" t="str">
        <f t="shared" si="20"/>
        <v>No aplica</v>
      </c>
      <c r="HD8" s="149" t="str">
        <f t="shared" si="20"/>
        <v>Cumplido</v>
      </c>
      <c r="HE8" s="149" t="str">
        <f t="shared" si="20"/>
        <v>No adecuado</v>
      </c>
      <c r="HF8" s="149" t="str">
        <f t="shared" si="20"/>
        <v>Coherente</v>
      </c>
      <c r="HG8" s="149" t="str">
        <f t="shared" si="20"/>
        <v>Concuerda</v>
      </c>
      <c r="HH8" s="149" t="str">
        <f t="shared" si="20"/>
        <v>Indeterminado</v>
      </c>
      <c r="HI8" s="149" t="str">
        <f t="shared" si="20"/>
        <v>No aplica</v>
      </c>
      <c r="HJ8" s="149" t="str">
        <f t="shared" si="20"/>
        <v>Adecuado</v>
      </c>
      <c r="HK8" s="149" t="str">
        <f t="shared" si="20"/>
        <v>Oportuna</v>
      </c>
      <c r="HL8" s="149" t="str">
        <f t="shared" si="20"/>
        <v>Los beneficios deberían estar mas relacionados con el desarrollo de las actividades puntuales en cada mes. Teniendo en cuenta que se ha cumplido en cada mes con el resultado esperado para el indicador, no se deberían reportar dificultades, salvo que hayan representado un esfuerzo significativo para el desarrollo de las actividades del plan en el componente número 3. Las carpetas de las evidencias corresponden con el valor reportado del indicador y su contenido es acorde con el propósito del indicador.</v>
      </c>
      <c r="HM8" s="149" t="str">
        <f t="shared" si="21"/>
        <v>Fernando Escobar Mendoza</v>
      </c>
      <c r="HN8" s="149" t="str">
        <f t="shared" si="21"/>
        <v>Cumple</v>
      </c>
      <c r="HO8" s="149" t="str">
        <f t="shared" si="21"/>
        <v>Cumplido</v>
      </c>
      <c r="HP8" s="149" t="str">
        <f t="shared" si="21"/>
        <v>Adecuado</v>
      </c>
      <c r="HQ8" s="149" t="str">
        <f t="shared" si="21"/>
        <v>Coherente</v>
      </c>
      <c r="HR8" s="149" t="str">
        <f t="shared" si="21"/>
        <v>Concuerda</v>
      </c>
      <c r="HS8" s="149" t="str">
        <f t="shared" si="21"/>
        <v>No aplica</v>
      </c>
      <c r="HT8" s="149" t="str">
        <f t="shared" si="21"/>
        <v>No aplica</v>
      </c>
      <c r="HU8" s="149" t="str">
        <f t="shared" si="21"/>
        <v>Adecuado</v>
      </c>
      <c r="HV8" s="149" t="str">
        <f t="shared" si="21"/>
        <v>Oportuna</v>
      </c>
      <c r="HW8" s="149" t="str">
        <f t="shared" si="21"/>
        <v>Niniguna</v>
      </c>
      <c r="HX8" s="149" t="str">
        <f t="shared" si="21"/>
        <v>Fernando Escobar Mendoza</v>
      </c>
    </row>
    <row r="9" spans="1:241" s="149" customFormat="1" x14ac:dyDescent="0.3">
      <c r="A9" s="145" t="s">
        <v>1178</v>
      </c>
      <c r="B9" s="146" t="s">
        <v>1144</v>
      </c>
      <c r="C9" s="146" t="s">
        <v>1144</v>
      </c>
      <c r="D9" s="146" t="s">
        <v>1144</v>
      </c>
      <c r="E9" s="146" t="s">
        <v>1144</v>
      </c>
      <c r="F9" s="136" t="s">
        <v>1179</v>
      </c>
      <c r="G9" s="146" t="s">
        <v>1144</v>
      </c>
      <c r="H9" s="146" t="s">
        <v>1144</v>
      </c>
      <c r="I9" s="135" t="s">
        <v>1146</v>
      </c>
      <c r="J9" s="135" t="s">
        <v>105</v>
      </c>
      <c r="K9" s="135" t="s">
        <v>106</v>
      </c>
      <c r="L9" s="135" t="s">
        <v>107</v>
      </c>
      <c r="M9" s="135" t="s">
        <v>1147</v>
      </c>
      <c r="N9" s="135" t="s">
        <v>1148</v>
      </c>
      <c r="O9" s="147" t="s">
        <v>1149</v>
      </c>
      <c r="P9" s="148"/>
      <c r="Q9" s="135" t="s">
        <v>1180</v>
      </c>
      <c r="R9" s="135" t="s">
        <v>1181</v>
      </c>
      <c r="S9" s="135" t="s">
        <v>1152</v>
      </c>
      <c r="T9" s="135" t="s">
        <v>1153</v>
      </c>
      <c r="U9" s="135" t="s">
        <v>1154</v>
      </c>
      <c r="V9" s="135" t="s">
        <v>1182</v>
      </c>
      <c r="W9" s="148" t="s">
        <v>601</v>
      </c>
      <c r="X9" s="135" t="s">
        <v>601</v>
      </c>
      <c r="Y9" s="135" t="s">
        <v>1183</v>
      </c>
      <c r="Z9" s="135" t="s">
        <v>1184</v>
      </c>
      <c r="AA9" s="135" t="s">
        <v>1177</v>
      </c>
      <c r="AB9" s="135" t="s">
        <v>602</v>
      </c>
      <c r="AC9" s="135" t="s">
        <v>1159</v>
      </c>
      <c r="AD9" s="135" t="s">
        <v>1160</v>
      </c>
      <c r="AE9" s="135">
        <v>2020</v>
      </c>
      <c r="AF9" s="119">
        <v>100</v>
      </c>
      <c r="AG9" s="149">
        <v>2019</v>
      </c>
      <c r="AH9" s="118" t="s">
        <v>1161</v>
      </c>
      <c r="AI9" s="118" t="s">
        <v>1161</v>
      </c>
      <c r="AJ9" s="118" t="s">
        <v>1161</v>
      </c>
      <c r="AK9" s="118" t="s">
        <v>1161</v>
      </c>
      <c r="AL9" s="118" t="s">
        <v>1161</v>
      </c>
      <c r="AM9" s="118" t="s">
        <v>1161</v>
      </c>
      <c r="AN9" s="146" t="s">
        <v>1144</v>
      </c>
      <c r="AO9" s="146" t="s">
        <v>1144</v>
      </c>
      <c r="AP9" s="146" t="s">
        <v>1144</v>
      </c>
      <c r="AQ9" s="146" t="s">
        <v>1144</v>
      </c>
      <c r="AR9" s="146" t="s">
        <v>1144</v>
      </c>
      <c r="AS9" s="150" t="s">
        <v>1144</v>
      </c>
      <c r="AT9" s="130" t="s">
        <v>1161</v>
      </c>
      <c r="AU9" s="130" t="s">
        <v>1161</v>
      </c>
      <c r="AV9" s="130" t="s">
        <v>1161</v>
      </c>
      <c r="AW9" s="130" t="s">
        <v>1161</v>
      </c>
      <c r="AX9" s="131">
        <v>100</v>
      </c>
      <c r="AY9" s="151" t="s">
        <v>1144</v>
      </c>
      <c r="AZ9" s="146" t="s">
        <v>1144</v>
      </c>
      <c r="BA9" s="146" t="s">
        <v>1144</v>
      </c>
      <c r="BB9" s="146" t="s">
        <v>1144</v>
      </c>
      <c r="BC9" s="146" t="s">
        <v>1144</v>
      </c>
      <c r="BD9" s="146">
        <v>0</v>
      </c>
      <c r="BE9" s="146" t="s">
        <v>1144</v>
      </c>
      <c r="BF9" s="146" t="s">
        <v>1144</v>
      </c>
      <c r="BG9" s="146" t="s">
        <v>1144</v>
      </c>
      <c r="BH9" s="146" t="s">
        <v>1144</v>
      </c>
      <c r="BI9" s="146" t="s">
        <v>1144</v>
      </c>
      <c r="BJ9" s="146">
        <v>0</v>
      </c>
      <c r="BK9" s="146" t="s">
        <v>1144</v>
      </c>
      <c r="BL9" s="146" t="s">
        <v>1144</v>
      </c>
      <c r="BM9" s="146" t="s">
        <v>1144</v>
      </c>
      <c r="BN9" s="146" t="s">
        <v>1144</v>
      </c>
      <c r="BO9" s="146" t="s">
        <v>1144</v>
      </c>
      <c r="BP9" s="146" t="s">
        <v>1144</v>
      </c>
      <c r="BQ9" s="146" t="s">
        <v>1144</v>
      </c>
      <c r="BR9" s="146" t="s">
        <v>1144</v>
      </c>
      <c r="BS9" s="146" t="s">
        <v>1144</v>
      </c>
      <c r="BT9" s="146" t="s">
        <v>1144</v>
      </c>
      <c r="BU9" s="146" t="s">
        <v>1144</v>
      </c>
      <c r="BV9" s="146" t="s">
        <v>1144</v>
      </c>
      <c r="BW9" s="146" t="s">
        <v>1144</v>
      </c>
      <c r="BX9" s="146" t="s">
        <v>1144</v>
      </c>
      <c r="BY9" s="146" t="s">
        <v>1144</v>
      </c>
      <c r="BZ9" s="146" t="s">
        <v>1144</v>
      </c>
      <c r="CA9" s="146" t="s">
        <v>1144</v>
      </c>
      <c r="CB9" s="146" t="s">
        <v>1144</v>
      </c>
      <c r="CC9" s="146" t="s">
        <v>1144</v>
      </c>
      <c r="CD9" s="146" t="s">
        <v>1144</v>
      </c>
      <c r="CE9" s="146" t="s">
        <v>1144</v>
      </c>
      <c r="CF9" s="150">
        <v>1</v>
      </c>
      <c r="CG9" s="146" t="s">
        <v>1144</v>
      </c>
      <c r="CH9" s="146" t="s">
        <v>1144</v>
      </c>
      <c r="CI9" s="146" t="s">
        <v>1144</v>
      </c>
      <c r="CJ9" s="146" t="s">
        <v>1144</v>
      </c>
      <c r="CK9" s="146" t="s">
        <v>1144</v>
      </c>
      <c r="CL9" s="146" t="s">
        <v>1144</v>
      </c>
      <c r="CM9" s="146" t="s">
        <v>1144</v>
      </c>
      <c r="CN9" s="146" t="s">
        <v>1144</v>
      </c>
      <c r="CO9" s="146" t="s">
        <v>1144</v>
      </c>
      <c r="CP9" s="146" t="s">
        <v>1144</v>
      </c>
      <c r="CQ9" s="146" t="s">
        <v>1144</v>
      </c>
      <c r="CR9" s="146" t="s">
        <v>1144</v>
      </c>
      <c r="CS9" s="146" t="s">
        <v>1144</v>
      </c>
      <c r="CT9" s="146" t="s">
        <v>1144</v>
      </c>
      <c r="CU9" s="146" t="s">
        <v>1144</v>
      </c>
      <c r="CV9" s="146" t="s">
        <v>1144</v>
      </c>
      <c r="CW9" s="146" t="s">
        <v>1144</v>
      </c>
      <c r="CX9" s="146" t="s">
        <v>1144</v>
      </c>
      <c r="CY9" s="146" t="s">
        <v>1144</v>
      </c>
      <c r="CZ9" s="146" t="s">
        <v>1144</v>
      </c>
      <c r="DA9" s="146" t="s">
        <v>1144</v>
      </c>
      <c r="DB9" s="152" t="str">
        <f t="shared" si="32"/>
        <v xml:space="preserve">PAAC, </v>
      </c>
      <c r="DC9" s="149" t="str">
        <f t="shared" si="1"/>
        <v>Este indicador mide el avance en la ejecución de las actividades programadas en la vigencia, para el Componente 4 del Plan Anticorrupción y Atención al Ciudadano en la Secretaria General de la Alcaldía Mayor de Bogotá D.C.</v>
      </c>
      <c r="DD9" s="149" t="str">
        <f t="shared" si="1"/>
        <v>Prestar apoyo técnico a las dependencias en lo relacionado con la formulación y el desarrollo de las actividades asociadas al componente 4 del Plan Anticorrupción y Atención al Ciudadano.
Hacer monitoreo y seguimiento a las dependencias responsables de la ejecución de las actividades programadas en el componenente 4 del Plan Anticorrupción y Atención al Ciudadano.</v>
      </c>
      <c r="DE9" s="149" t="str">
        <f t="shared" si="1"/>
        <v>Mejorar la satisfacción de los ciudadanos, facilitando el ejercicio de sus derechos dentro del marco de la Política Nacional de Eficiencia Administrativa al Servicio del Ciudadano (Conpes 3785 de 2013), de acuerdo con los lineamientos del Programa Nacional de Servicio al Ciudadano</v>
      </c>
      <c r="DF9" s="149" t="str">
        <f t="shared" si="1"/>
        <v>Botón de transparencia de la página web de la Secretaría General
Reportes de las dependencias</v>
      </c>
      <c r="DG9" s="149" t="str">
        <f t="shared" si="1"/>
        <v>Suma</v>
      </c>
      <c r="DH9" s="149">
        <f t="shared" si="2"/>
        <v>21536</v>
      </c>
      <c r="DI9" s="149">
        <f t="shared" si="3"/>
        <v>1469</v>
      </c>
      <c r="DJ9" s="149">
        <f t="shared" si="4"/>
        <v>1534</v>
      </c>
      <c r="DK9" s="149">
        <f t="shared" si="5"/>
        <v>1506</v>
      </c>
      <c r="DL9" s="149">
        <f t="shared" si="6"/>
        <v>1727</v>
      </c>
      <c r="DM9" s="149">
        <f t="shared" si="7"/>
        <v>1754</v>
      </c>
      <c r="DN9" s="149">
        <f>+VLOOKUP($A9,consolidado,MATCH(DT$5,consolidadofila,0),0)</f>
        <v>2111</v>
      </c>
      <c r="DO9" s="149">
        <f t="shared" si="8"/>
        <v>6.821136701337295</v>
      </c>
      <c r="DP9" s="149">
        <f t="shared" si="8"/>
        <v>7.1229569093610694</v>
      </c>
      <c r="DQ9" s="149">
        <f t="shared" si="8"/>
        <v>6.9929420505200595</v>
      </c>
      <c r="DR9" s="149">
        <f t="shared" si="8"/>
        <v>8.0191307578008928</v>
      </c>
      <c r="DS9" s="149">
        <f t="shared" si="8"/>
        <v>8.1445022288261519</v>
      </c>
      <c r="DT9" s="149">
        <f t="shared" si="8"/>
        <v>9.8021916790490344</v>
      </c>
      <c r="DU9" s="149">
        <f t="shared" si="9"/>
        <v>100</v>
      </c>
      <c r="DV9" s="149">
        <f t="shared" si="9"/>
        <v>1495</v>
      </c>
      <c r="DW9" s="149">
        <f t="shared" si="9"/>
        <v>1469</v>
      </c>
      <c r="DX9" s="149" t="str">
        <f t="shared" si="9"/>
        <v>La ejecución se ha venido realizando conforme a la programción establecida con el ánimo de instaurar mecanismos de participación ciudadana para ello se realizaron acciones como: Sensibuilización de ciudadanos, informes PQR, eventos de supercade móvil, Informe denuncias actos de corrupción, cualificación a serviores, retroalimentación a entidades distritales.</v>
      </c>
      <c r="DY9" s="149" t="str">
        <f t="shared" si="9"/>
        <v>No se presentaron retrasos o dificultades para la realización de las actividades</v>
      </c>
      <c r="DZ9" s="149" t="str">
        <f t="shared" si="9"/>
        <v>Las actividades realizadas contribuyen a fortalecer los mecanismos de participación de cara a la buena realción entre la entidad y la ciudadanía</v>
      </c>
      <c r="EA9" s="149">
        <f t="shared" si="9"/>
        <v>2072</v>
      </c>
      <c r="EB9" s="149">
        <f t="shared" si="9"/>
        <v>1534</v>
      </c>
      <c r="EC9" s="149" t="str">
        <f t="shared" si="9"/>
        <v>La ejecución se ha venido realizando conforme a la programción establecida con el ánimo de instaurar mecanismos de participación ciudadana para ello se realizaron acciones como: Sensibuilización de ciudadanos, informes PQR, eventos de supercade móvil, Informe denuncias actos de corrupción, cualificación a serviores, retroalimentación a entidades distritales.</v>
      </c>
      <c r="ED9" s="149" t="str">
        <f t="shared" si="9"/>
        <v>No se presentaron retrasos o dificultades para la realización de las actividades</v>
      </c>
      <c r="EE9" s="149" t="str">
        <f t="shared" si="10"/>
        <v>Las actividades realizadas contribuyen a fortalecer los mecanismos de participación de cara a la buena realción entre la entidad y la ciudadanía</v>
      </c>
      <c r="EF9" s="149">
        <f t="shared" si="10"/>
        <v>1945</v>
      </c>
      <c r="EG9" s="149">
        <f t="shared" si="10"/>
        <v>1506</v>
      </c>
      <c r="EH9" s="149" t="str">
        <f t="shared" si="10"/>
        <v>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v>
      </c>
      <c r="EI9" s="149" t="str">
        <f t="shared" si="10"/>
        <v>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v>
      </c>
      <c r="EJ9" s="149" t="str">
        <f t="shared" si="10"/>
        <v>Las actividades realizadas contribuyen a fortalecer los mecanismos de participación de cara a la buena realción entre la entidad y la ciudadanía</v>
      </c>
      <c r="EK9" s="149">
        <f t="shared" si="10"/>
        <v>3048</v>
      </c>
      <c r="EL9" s="149">
        <f t="shared" si="10"/>
        <v>1727</v>
      </c>
      <c r="EM9" s="149" t="str">
        <f t="shared" si="10"/>
        <v>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v>
      </c>
      <c r="EN9" s="149" t="str">
        <f t="shared" si="10"/>
        <v>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v>
      </c>
      <c r="EO9" s="149" t="str">
        <f t="shared" si="11"/>
        <v>Las actividades realizadas contribuyen a fortalecer los mecanismos de participación de cara a la buena realción entre la entidad y la ciudadanía</v>
      </c>
      <c r="EP9" s="149">
        <f t="shared" si="11"/>
        <v>2425</v>
      </c>
      <c r="EQ9" s="149">
        <f t="shared" si="11"/>
        <v>1754</v>
      </c>
      <c r="ER9" s="149" t="str">
        <f t="shared" si="11"/>
        <v>La ejecución se ha venido realizando conforme a la programción establecida con el ánimo de instaurar mecanismos de participación ciudadana para ello se realizaron acciones como: Sensibuilización de ciudadanos, informes PQR, Informe denuncias actos de corrupción, cualificación a serviores, retroalimentación a entidades distritales.</v>
      </c>
      <c r="ES9" s="149" t="str">
        <f t="shared" si="11"/>
        <v>Por efectos de la emergencia sanitaria se han presentado dificultades para la ralización de las actividades pero se han podido solucionar con el uso de la tecnología. Muchas de las actividades se realizaban en supercades móviles y puntos de atención de la red CADE y al tener que suspender este servico se retrasaron o tuvieron que cambiarse por eventuales realizadas vía streaming</v>
      </c>
      <c r="ET9" s="149" t="str">
        <f t="shared" si="11"/>
        <v>Las actividades realizadas contribuyen a fortalecer los mecanismos de participación de cara a la buena realción entre la entidad y la ciudadanía</v>
      </c>
      <c r="EU9" s="149">
        <f t="shared" si="11"/>
        <v>3159</v>
      </c>
      <c r="EV9" s="149">
        <f t="shared" si="11"/>
        <v>2111</v>
      </c>
      <c r="EW9" s="149" t="str">
        <f t="shared" si="11"/>
        <v>Se Sensibilizó a ciudadanos/comerciante, Se elaboraron los informes mensuales de: PQR, denuncias actos de corrupción: Se cualificó a serviores, se retroalimentó  a las entidades distritales en temas de respuestas a peticiones ciudadanas y se presentaron los resultados de la medición de satisfacción ciudadana en la red CADE y CLAV</v>
      </c>
      <c r="EX9" s="149" t="str">
        <f t="shared" si="11"/>
        <v>El indicador presentea una sobreejecución en razón a lo siguiente: Hay dos actividades donde la dependencia responsable las programó a demanda por tanto en el momento del reporte es que sabemos cual es la programación y ejecución del mismo presentando 75 unidades de programación. De otro lado hay unas actividades de cualificación a servidiores y comerciantes al igual que evaluaicón de peticiones ciudadanas las cuales presentean una sobre ejecucion de 973 unidades programadas, para una sobreejecución de 1,048 unidades del 49,64 % de lo programada para el periodo</v>
      </c>
      <c r="EY9" s="149" t="str">
        <f t="shared" si="11"/>
        <v>Las actividades realizadas contribuyen a fortalecer los mecanismos de participación de cara a la buena realción entre la entidad y la ciudadanía y a la mejora de los funcionarios para la prestación del servicio de cara al ciudadano</v>
      </c>
      <c r="EZ9" s="149">
        <f t="shared" si="11"/>
        <v>14144</v>
      </c>
      <c r="FA9" s="149">
        <f t="shared" si="11"/>
        <v>10101</v>
      </c>
      <c r="FB9" s="149" t="str">
        <f t="shared" si="11"/>
        <v/>
      </c>
      <c r="FC9" s="149" t="str">
        <f t="shared" si="11"/>
        <v/>
      </c>
      <c r="FD9" s="149" t="str">
        <f t="shared" si="12"/>
        <v/>
      </c>
      <c r="FE9" s="149" t="str">
        <f t="shared" si="12"/>
        <v/>
      </c>
      <c r="FF9" s="149" t="str">
        <f t="shared" si="12"/>
        <v/>
      </c>
      <c r="FG9" s="149" t="str">
        <f t="shared" si="12"/>
        <v/>
      </c>
      <c r="FH9" s="149" t="str">
        <f t="shared" si="12"/>
        <v/>
      </c>
      <c r="FI9" s="149" t="str">
        <f t="shared" si="12"/>
        <v/>
      </c>
      <c r="FJ9" s="149" t="str">
        <f t="shared" si="12"/>
        <v/>
      </c>
      <c r="FK9" s="149" t="str">
        <f t="shared" si="12"/>
        <v/>
      </c>
      <c r="FL9" s="149" t="str">
        <f t="shared" si="12"/>
        <v/>
      </c>
      <c r="FM9" s="149" t="str">
        <f t="shared" si="12"/>
        <v/>
      </c>
      <c r="FN9" s="149" t="str">
        <f t="shared" si="13"/>
        <v/>
      </c>
      <c r="FO9" s="149" t="str">
        <f t="shared" si="13"/>
        <v/>
      </c>
      <c r="FP9" s="149" t="str">
        <f t="shared" si="13"/>
        <v/>
      </c>
      <c r="FQ9" s="149" t="str">
        <f t="shared" si="13"/>
        <v/>
      </c>
      <c r="FR9" s="149" t="str">
        <f t="shared" si="13"/>
        <v/>
      </c>
      <c r="FS9" s="149" t="str">
        <f t="shared" si="13"/>
        <v/>
      </c>
      <c r="FT9" s="149" t="str">
        <f t="shared" si="13"/>
        <v/>
      </c>
      <c r="FU9" s="149" t="str">
        <f t="shared" si="13"/>
        <v/>
      </c>
      <c r="FV9" s="149" t="str">
        <f t="shared" si="13"/>
        <v/>
      </c>
      <c r="FW9" s="149" t="str">
        <f t="shared" si="13"/>
        <v/>
      </c>
      <c r="FX9" s="149" t="str">
        <f t="shared" si="14"/>
        <v/>
      </c>
      <c r="FY9" s="149" t="str">
        <f t="shared" si="14"/>
        <v/>
      </c>
      <c r="FZ9" s="149" t="str">
        <f t="shared" si="14"/>
        <v/>
      </c>
      <c r="GA9" s="149" t="str">
        <f t="shared" si="14"/>
        <v/>
      </c>
      <c r="GB9" s="149" t="str">
        <f t="shared" si="14"/>
        <v/>
      </c>
      <c r="GC9" s="149" t="str">
        <f t="shared" si="14"/>
        <v/>
      </c>
      <c r="GD9" s="149" t="str">
        <f t="shared" si="14"/>
        <v/>
      </c>
      <c r="GE9" s="149" t="str">
        <f t="shared" si="14"/>
        <v/>
      </c>
      <c r="GF9" s="149">
        <f t="shared" si="33"/>
        <v>1.0176991150442478</v>
      </c>
      <c r="GG9" s="149">
        <f t="shared" si="22"/>
        <v>1.3507170795306389</v>
      </c>
      <c r="GH9" s="149">
        <f t="shared" si="23"/>
        <v>1.2915006640106241</v>
      </c>
      <c r="GI9" s="149">
        <f t="shared" si="24"/>
        <v>1.7649102489866821</v>
      </c>
      <c r="GJ9" s="149">
        <f t="shared" si="25"/>
        <v>1.3825541619156214</v>
      </c>
      <c r="GK9" s="149">
        <f t="shared" si="34"/>
        <v>1.4002574002574002</v>
      </c>
      <c r="GL9" s="149">
        <f t="shared" si="15"/>
        <v>6.941864784546806</v>
      </c>
      <c r="GM9" s="149">
        <f t="shared" si="16"/>
        <v>9.621099554234771</v>
      </c>
      <c r="GN9" s="149">
        <f t="shared" si="17"/>
        <v>9.0313893016344728</v>
      </c>
      <c r="GO9" s="149">
        <f t="shared" si="18"/>
        <v>14.153046062407132</v>
      </c>
      <c r="GP9" s="149">
        <f t="shared" si="19"/>
        <v>11.26021545319465</v>
      </c>
      <c r="GQ9" s="149">
        <f t="shared" si="19"/>
        <v>14.668462109955424</v>
      </c>
      <c r="GR9" s="153">
        <f t="shared" si="26"/>
        <v>65.676077265973262</v>
      </c>
      <c r="GS9" s="149">
        <f t="shared" si="27"/>
        <v>101.7699115044248</v>
      </c>
      <c r="GT9" s="149">
        <f>+IF(OR($A9=52,$A9=124),1,IFERROR(IF($X9="Creciente",IF($AB9="Número",SUM($GL9:GM9)/SUM($DO9:DP9)*($AX9-$AW9),SUM($GL9:GM9)/SUM($DO9:DP9))*($AX9-$AW9),IF($DG9="Creciente",GM9*GM9/GM9,IF(AND($DG9="Constante",$AB9="Porcentaje"),AVERAGEIF($GL9:GM9,"&lt;&gt;0")/AVERAGEIF($DO9:DP9,"&lt;&gt;0")*100,SUM($GL9:GM9)/SUM($DO9:DP9)*$DU9))),GS9))</f>
        <v>118.78121878121881</v>
      </c>
      <c r="GU9" s="149">
        <f>+IF(OR($A9=52,$A9=124),1,IFERROR(IF($X9="Creciente",IF($AB9="Número",SUM($GL9:GN9)/SUM($DO9:DQ9)*($AX9-$AW9),SUM($GL9:GN9)/SUM($DO9:DQ9))*($AX9-$AW9),IF($DG9="Creciente",GN9*GN9/GN9,IF(AND($DG9="Constante",$AB9="Porcentaje"),AVERAGEIF($GL9:GN9,"&lt;&gt;0")/AVERAGEIF($DO9:DQ9,"&lt;&gt;0")*100,SUM($GL9:GN9)/SUM($DO9:DQ9)*$DU9))),GT9))</f>
        <v>122.24440008871147</v>
      </c>
      <c r="GV9" s="149">
        <f>+IF(OR($A9=52,$A9=124),1,IFERROR(IF($X9="Creciente",IF($AB9="Número",SUM($GL9:GO9)/SUM($DO9:DR9)*($AX9-$AW9),SUM($GL9:GO9)/SUM($DO9:DR9))*($AX9-$AW9),IF($DG9="Creciente",GO9*GO9/GO9,IF(AND($DG9="Constante",$AB9="Porcentaje"),AVERAGEIF($GL9:GO9,"&lt;&gt;0")/AVERAGEIF($DO9:DR9,"&lt;&gt;0")*100,SUM($GL9:GO9)/SUM($DO9:DR9)*$DU9))),GU9))</f>
        <v>137.26747915330338</v>
      </c>
      <c r="GW9" s="149">
        <f>+IF(OR($A9=52,$A9=124),1,IFERROR(IF($X9="Creciente",IF($AB9="Número",SUM($GL9:GP9)/SUM($DO9:DS9)*($AX9-$AW9),SUM($GL9:GP9)/SUM($DO9:DS9))*($AX9-$AW9),IF($DG9="Creciente",GP9*GP9/GP9,IF(AND($DG9="Constante",$AB9="Porcentaje"),AVERAGEIF($GL9:GP9,"&lt;&gt;0")/AVERAGEIF($DO9:DS9,"&lt;&gt;0")*100,SUM($GL9:GP9)/SUM($DO9:DS9)*$DU9))),GV9))</f>
        <v>137.48435544430541</v>
      </c>
      <c r="GX9" s="149">
        <f>+IF(OR($A9=52,$A9=124),1,IFERROR(IF($X9="Creciente",IF($AB9="Número",SUM($GL9:GQ9)/SUM($DO9:DT9)*($AX9-$AW9),SUM($GL9:GQ9)/SUM($DO9:DT9))*($AX9-$AW9),IF($DG9="Creciente",GQ9*GQ9/GQ9,IF(AND($DG9="Constante",$AB9="Porcentaje"),AVERAGEIF($GL9:GQ9,"&lt;&gt;0")/AVERAGEIF($DO9:DT9,"&lt;&gt;0")*100,SUM($GL9:GQ9)/SUM($DO9:DT9)*$DU9))),GW9))</f>
        <v>140.02574002574008</v>
      </c>
      <c r="GY9" s="149" t="str">
        <f t="shared" si="28"/>
        <v>Este indicador mide el avance en la ejecución de las actividades programadas en la vigencia, para el Componente 4 del Plan Anticorrupción y Atención al Ciudadano en la Secretaria General de la Alcaldía Mayor de Bogotá D.C.</v>
      </c>
      <c r="GZ9" s="149" t="str">
        <f t="shared" si="29"/>
        <v>Prestar apoyo técnico a las dependencias en lo relacionado con la formulación y el desarrollo de las actividades asociadas al componente 4 del Plan Anticorrupción y Atención al Ciudadano.
Hacer monitoreo y seguimiento a las dependencias responsables de la ejecución de las actividades programadas en el componenente 4 del Plan Anticorrupción y Atención al Ciudadano.</v>
      </c>
      <c r="HA9" s="149" t="str">
        <f t="shared" si="30"/>
        <v>Mejorar la satisfacción de los ciudadanos, facilitando el ejercicio de sus derechos dentro del marco de la Política Nacional de Eficiencia Administrativa al Servicio del Ciudadano (Conpes 3785 de 2013), de acuerdo con los lineamientos del Programa Nacional de Servicio al Ciudadano</v>
      </c>
      <c r="HB9" s="149" t="str">
        <f t="shared" si="31"/>
        <v>Botón de transparencia de la página web de la Secretaría General
Reportes de las dependencias</v>
      </c>
      <c r="HC9" s="149" t="str">
        <f t="shared" si="20"/>
        <v>No aplica</v>
      </c>
      <c r="HD9" s="149" t="str">
        <f t="shared" si="20"/>
        <v>Anticipado</v>
      </c>
      <c r="HE9" s="149" t="str">
        <f t="shared" si="20"/>
        <v>No adecuado</v>
      </c>
      <c r="HF9" s="149" t="str">
        <f t="shared" si="20"/>
        <v>Coherente</v>
      </c>
      <c r="HG9" s="149" t="str">
        <f t="shared" si="20"/>
        <v>Indeterminado</v>
      </c>
      <c r="HH9" s="149" t="str">
        <f t="shared" si="20"/>
        <v>Indeterminado</v>
      </c>
      <c r="HI9" s="149" t="str">
        <f t="shared" si="20"/>
        <v>No aplica</v>
      </c>
      <c r="HJ9" s="149" t="str">
        <f t="shared" si="20"/>
        <v>Indeterminado</v>
      </c>
      <c r="HK9" s="149" t="str">
        <f t="shared" si="20"/>
        <v>Oportuna</v>
      </c>
      <c r="HL9" s="149" t="str">
        <f t="shared" si="20"/>
        <v>Tanto el avance cualitativo y los beneficios deberían estar mas relacionados con el desarrollo de las actividades puntuales en cada mes. Teniendo en cuenta que se ha cumplido en cada mes con el resultado esperado para el indicador, incluso se ha superado, no se deberían reportar dificultades. El reporte de las evidencias debería permitir verificar el número de actividades ejecutadas o al menos los grupos o paquetes que la componen.</v>
      </c>
      <c r="HM9" s="149" t="str">
        <f t="shared" si="21"/>
        <v>Fernando Escobar Mendoza</v>
      </c>
      <c r="HN9" s="149" t="str">
        <f t="shared" si="21"/>
        <v>Cumple</v>
      </c>
      <c r="HO9" s="149" t="str">
        <f t="shared" si="21"/>
        <v>Anticipado</v>
      </c>
      <c r="HP9" s="149" t="str">
        <f t="shared" si="21"/>
        <v>Adecuado</v>
      </c>
      <c r="HQ9" s="149" t="str">
        <f t="shared" si="21"/>
        <v>Coherente</v>
      </c>
      <c r="HR9" s="149" t="str">
        <f t="shared" si="21"/>
        <v>Concuerda</v>
      </c>
      <c r="HS9" s="149" t="str">
        <f t="shared" si="21"/>
        <v>Concuerda</v>
      </c>
      <c r="HT9" s="149" t="str">
        <f t="shared" si="21"/>
        <v>No aplica</v>
      </c>
      <c r="HU9" s="149" t="str">
        <f t="shared" si="21"/>
        <v>Adecuado</v>
      </c>
      <c r="HV9" s="149" t="str">
        <f t="shared" si="21"/>
        <v>Oportuna</v>
      </c>
      <c r="HW9" s="149" t="str">
        <f t="shared" si="21"/>
        <v>Debería reconsiderarse la cuantificación de los entregables de este componente del PAAC, ya que como se manifestó en el análisis de dificultades existen algunas actividades que son por demanda.</v>
      </c>
      <c r="HX9" s="149" t="str">
        <f t="shared" si="21"/>
        <v>Fernando Escobar Mendoza</v>
      </c>
    </row>
    <row r="10" spans="1:241" s="149" customFormat="1" x14ac:dyDescent="0.3">
      <c r="A10" s="145" t="s">
        <v>1185</v>
      </c>
      <c r="B10" s="146" t="s">
        <v>1144</v>
      </c>
      <c r="C10" s="146" t="s">
        <v>1144</v>
      </c>
      <c r="D10" s="146" t="s">
        <v>1144</v>
      </c>
      <c r="E10" s="146" t="s">
        <v>1144</v>
      </c>
      <c r="F10" s="136" t="s">
        <v>1186</v>
      </c>
      <c r="G10" s="146" t="s">
        <v>1144</v>
      </c>
      <c r="H10" s="146" t="s">
        <v>1144</v>
      </c>
      <c r="I10" s="135" t="s">
        <v>1146</v>
      </c>
      <c r="J10" s="135" t="s">
        <v>105</v>
      </c>
      <c r="K10" s="135" t="s">
        <v>106</v>
      </c>
      <c r="L10" s="135" t="s">
        <v>107</v>
      </c>
      <c r="M10" s="135" t="s">
        <v>1147</v>
      </c>
      <c r="N10" s="135" t="s">
        <v>1148</v>
      </c>
      <c r="O10" s="147" t="s">
        <v>1149</v>
      </c>
      <c r="P10" s="148"/>
      <c r="Q10" s="135" t="s">
        <v>1187</v>
      </c>
      <c r="R10" s="135" t="s">
        <v>1188</v>
      </c>
      <c r="S10" s="135" t="s">
        <v>1152</v>
      </c>
      <c r="T10" s="135" t="s">
        <v>1153</v>
      </c>
      <c r="U10" s="135" t="s">
        <v>1154</v>
      </c>
      <c r="V10" s="135" t="s">
        <v>1189</v>
      </c>
      <c r="W10" s="148" t="s">
        <v>601</v>
      </c>
      <c r="X10" s="135" t="s">
        <v>601</v>
      </c>
      <c r="Y10" s="135" t="s">
        <v>1190</v>
      </c>
      <c r="Z10" s="135" t="s">
        <v>1191</v>
      </c>
      <c r="AA10" s="135" t="s">
        <v>1177</v>
      </c>
      <c r="AB10" s="135" t="s">
        <v>602</v>
      </c>
      <c r="AC10" s="135" t="s">
        <v>1159</v>
      </c>
      <c r="AD10" s="135" t="s">
        <v>1160</v>
      </c>
      <c r="AE10" s="135">
        <v>2020</v>
      </c>
      <c r="AF10" s="119">
        <v>100</v>
      </c>
      <c r="AG10" s="149">
        <v>2019</v>
      </c>
      <c r="AH10" s="118" t="s">
        <v>1161</v>
      </c>
      <c r="AI10" s="118" t="s">
        <v>1161</v>
      </c>
      <c r="AJ10" s="118" t="s">
        <v>1161</v>
      </c>
      <c r="AK10" s="118" t="s">
        <v>1161</v>
      </c>
      <c r="AL10" s="118" t="s">
        <v>1161</v>
      </c>
      <c r="AM10" s="118" t="s">
        <v>1161</v>
      </c>
      <c r="AN10" s="146" t="s">
        <v>1144</v>
      </c>
      <c r="AO10" s="146" t="s">
        <v>1144</v>
      </c>
      <c r="AP10" s="146" t="s">
        <v>1144</v>
      </c>
      <c r="AQ10" s="146" t="s">
        <v>1144</v>
      </c>
      <c r="AR10" s="146" t="s">
        <v>1144</v>
      </c>
      <c r="AS10" s="150" t="s">
        <v>1144</v>
      </c>
      <c r="AT10" s="130" t="s">
        <v>1161</v>
      </c>
      <c r="AU10" s="130" t="s">
        <v>1161</v>
      </c>
      <c r="AV10" s="130" t="s">
        <v>1161</v>
      </c>
      <c r="AW10" s="130" t="s">
        <v>1161</v>
      </c>
      <c r="AX10" s="131">
        <v>100</v>
      </c>
      <c r="AY10" s="151" t="s">
        <v>1144</v>
      </c>
      <c r="AZ10" s="146" t="s">
        <v>1144</v>
      </c>
      <c r="BA10" s="146" t="s">
        <v>1144</v>
      </c>
      <c r="BB10" s="146" t="s">
        <v>1144</v>
      </c>
      <c r="BC10" s="146" t="s">
        <v>1144</v>
      </c>
      <c r="BD10" s="146">
        <v>0</v>
      </c>
      <c r="BE10" s="146" t="s">
        <v>1144</v>
      </c>
      <c r="BF10" s="146" t="s">
        <v>1144</v>
      </c>
      <c r="BG10" s="146" t="s">
        <v>1144</v>
      </c>
      <c r="BH10" s="146" t="s">
        <v>1144</v>
      </c>
      <c r="BI10" s="146" t="s">
        <v>1144</v>
      </c>
      <c r="BJ10" s="146">
        <v>0</v>
      </c>
      <c r="BK10" s="146" t="s">
        <v>1144</v>
      </c>
      <c r="BL10" s="146" t="s">
        <v>1144</v>
      </c>
      <c r="BM10" s="146" t="s">
        <v>1144</v>
      </c>
      <c r="BN10" s="146" t="s">
        <v>1144</v>
      </c>
      <c r="BO10" s="146" t="s">
        <v>1144</v>
      </c>
      <c r="BP10" s="146" t="s">
        <v>1144</v>
      </c>
      <c r="BQ10" s="146" t="s">
        <v>1144</v>
      </c>
      <c r="BR10" s="146" t="s">
        <v>1144</v>
      </c>
      <c r="BS10" s="146" t="s">
        <v>1144</v>
      </c>
      <c r="BT10" s="146" t="s">
        <v>1144</v>
      </c>
      <c r="BU10" s="146" t="s">
        <v>1144</v>
      </c>
      <c r="BV10" s="146" t="s">
        <v>1144</v>
      </c>
      <c r="BW10" s="146" t="s">
        <v>1144</v>
      </c>
      <c r="BX10" s="146" t="s">
        <v>1144</v>
      </c>
      <c r="BY10" s="146" t="s">
        <v>1144</v>
      </c>
      <c r="BZ10" s="146" t="s">
        <v>1144</v>
      </c>
      <c r="CA10" s="146" t="s">
        <v>1144</v>
      </c>
      <c r="CB10" s="146" t="s">
        <v>1144</v>
      </c>
      <c r="CC10" s="146" t="s">
        <v>1144</v>
      </c>
      <c r="CD10" s="146" t="s">
        <v>1144</v>
      </c>
      <c r="CE10" s="146" t="s">
        <v>1144</v>
      </c>
      <c r="CF10" s="149">
        <v>1</v>
      </c>
      <c r="CG10" s="146" t="s">
        <v>1144</v>
      </c>
      <c r="CH10" s="146" t="s">
        <v>1144</v>
      </c>
      <c r="CI10" s="146" t="s">
        <v>1144</v>
      </c>
      <c r="CJ10" s="146" t="s">
        <v>1144</v>
      </c>
      <c r="CK10" s="146" t="s">
        <v>1144</v>
      </c>
      <c r="CL10" s="146" t="s">
        <v>1144</v>
      </c>
      <c r="CM10" s="146" t="s">
        <v>1144</v>
      </c>
      <c r="CN10" s="146" t="s">
        <v>1144</v>
      </c>
      <c r="CO10" s="146" t="s">
        <v>1144</v>
      </c>
      <c r="CP10" s="146" t="s">
        <v>1144</v>
      </c>
      <c r="CQ10" s="146" t="s">
        <v>1144</v>
      </c>
      <c r="CR10" s="146" t="s">
        <v>1144</v>
      </c>
      <c r="CS10" s="146" t="s">
        <v>1144</v>
      </c>
      <c r="CT10" s="146" t="s">
        <v>1144</v>
      </c>
      <c r="CU10" s="146" t="s">
        <v>1144</v>
      </c>
      <c r="CV10" s="146" t="s">
        <v>1144</v>
      </c>
      <c r="CW10" s="146" t="s">
        <v>1144</v>
      </c>
      <c r="CX10" s="146" t="s">
        <v>1144</v>
      </c>
      <c r="CY10" s="146" t="s">
        <v>1144</v>
      </c>
      <c r="CZ10" s="146" t="s">
        <v>1144</v>
      </c>
      <c r="DA10" s="146" t="s">
        <v>1144</v>
      </c>
      <c r="DB10" s="152" t="str">
        <f>IF(BW10="No Aplica","",$BW$5)&amp;IF(BX10="No Aplica","",$BX$5)&amp;IF(BY10="No Aplica","",$BY$5)&amp;IF(BZ10="No Aplica","",$BZ$5)&amp;IF(CA10="No Aplica","",$CA$5)&amp;IF(CB10="No Aplica","",CB10&amp;" ")&amp;IF(CC10="No Aplica","",CC10&amp;", ")&amp;IF(CD10="No Aplica","",$CD$5)&amp;IF(CE10="No Aplica","",$CE$5&amp;CE10&amp;", ")&amp;IF(CF10="No Aplica","",$CF$5)&amp;IF(CG10="No Aplica","",$CG$5)&amp;IF(CH10="No Aplica","",$CH$5)&amp;IF(CI10="No Aplica","",$CI$5)&amp;IF(CJ10="No Aplica","",$CJ$5)&amp;IF(CK10="No Aplica","",$CK$5)&amp;IF(CL10="No Aplica","",$CL$5)&amp;IF(CM10="No Aplica","",$CM$5)&amp;IF(CN10="No Aplica","",$CN$5)&amp;IF(CO10="No Aplica","",$CO$5)&amp;IF(CP10="No Aplica","",$CP$5)&amp;IF(CQ10="No Aplica","",$CQ$5)&amp;IF(CR10="No Aplica","",$CR$5)&amp;IF(CS10="No Aplica","",$CS$5)&amp;IF(CT10="No Aplica","",$CT$5)&amp;IF(CU10="No Aplica","",$CU$5)&amp;IF(CV10="No Aplica","",$CV$5)&amp;IF(CW10="No Aplica","",CW10&amp;", ")&amp;IF(CX10="No Aplica","",$CX$5&amp;CX10&amp;", ")&amp;IF(CY10="No Aplica","",$CY$5)&amp;IF(CZ10="No Aplica","",$CZ$5)&amp;IF(DA10="No Aplica","",$DA$5)</f>
        <v xml:space="preserve">PAAC, </v>
      </c>
      <c r="DC10" s="149" t="str">
        <f t="shared" si="1"/>
        <v>Este indicador mide el avance en la ejecución de las actividades programadas en la vigencia, para el Componente 5 del Plan Anticorrupción y Atención al Ciudadano en la Secretaria General de la Alcaldía Mayor de Bogotá D.C.</v>
      </c>
      <c r="DD10" s="149" t="str">
        <f t="shared" si="1"/>
        <v>Prestar apoyo técnico a las dependencias en lo relacionado con la formulación y el desarrollo de las actividades asociadas al componente 5 del Plan Anticorrupción y Atención al Ciudadano.
Hacer monitoreo y seguimiento a las dependencias responsables de la ejecución de las actividades programadas en el componenente 5 del Plan Anticorrupción y Atención al Ciudadano.</v>
      </c>
      <c r="DE10" s="149" t="str">
        <f t="shared" si="1"/>
        <v>Desarrollar acciones para la implementación de la ley 1712 de 2014 y los lineamientos  del primer objetivo del CONPES 167 de 2013 “Estrategia para el mejoramiento del acceso y la calidad de la información pública”</v>
      </c>
      <c r="DF10" s="149" t="str">
        <f t="shared" si="1"/>
        <v>Botón de transparencia de la página web de la Secretaría General
Reportes de las dependencias</v>
      </c>
      <c r="DG10" s="149" t="str">
        <f t="shared" si="1"/>
        <v>Suma</v>
      </c>
      <c r="DH10" s="149">
        <f>+IF(VLOOKUP($A10,consolidado,MATCH(DH$5,consolidadofila,0),0)=0,DU10,VLOOKUP($A10,consolidado,MATCH(DH$5,consolidadofila,0),0))</f>
        <v>235</v>
      </c>
      <c r="DI10" s="149">
        <f>+VLOOKUP($A10,consolidado,MATCH(DO$5,consolidadofila,0),0)</f>
        <v>17</v>
      </c>
      <c r="DJ10" s="149">
        <f>+VLOOKUP($A10,consolidado,MATCH(DP$5,consolidadofila,0),0)</f>
        <v>17</v>
      </c>
      <c r="DK10" s="149">
        <f>+VLOOKUP($A10,consolidado,MATCH(DQ$5,consolidadofila,0),0)</f>
        <v>17</v>
      </c>
      <c r="DL10" s="149">
        <f>+VLOOKUP($A10,consolidado,MATCH(DR$5,consolidadofila,0),0)</f>
        <v>20</v>
      </c>
      <c r="DM10" s="149">
        <f t="shared" ref="DM10:DN12" si="35">+VLOOKUP($A10,consolidado,MATCH(DS$5,consolidadofila,0),0)</f>
        <v>24</v>
      </c>
      <c r="DN10" s="149">
        <f t="shared" si="35"/>
        <v>19</v>
      </c>
      <c r="DO10" s="149">
        <f t="shared" si="8"/>
        <v>7.2340425531914887</v>
      </c>
      <c r="DP10" s="149">
        <f t="shared" si="8"/>
        <v>7.2340425531914887</v>
      </c>
      <c r="DQ10" s="149">
        <f t="shared" si="8"/>
        <v>7.2340425531914887</v>
      </c>
      <c r="DR10" s="149">
        <f t="shared" si="8"/>
        <v>8.5106382978723403</v>
      </c>
      <c r="DS10" s="149">
        <f t="shared" si="8"/>
        <v>10.212765957446807</v>
      </c>
      <c r="DT10" s="149">
        <f t="shared" si="8"/>
        <v>8.085106382978724</v>
      </c>
      <c r="DU10" s="149">
        <f t="shared" si="9"/>
        <v>100</v>
      </c>
      <c r="DV10" s="149">
        <f t="shared" si="9"/>
        <v>17</v>
      </c>
      <c r="DW10" s="149">
        <f t="shared" si="9"/>
        <v>17</v>
      </c>
      <c r="DX10" s="149" t="str">
        <f t="shared" si="9"/>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v>
      </c>
      <c r="DY10" s="149" t="str">
        <f t="shared" si="9"/>
        <v>No se presentaron retrasos o dificultades para la realización de las actividades</v>
      </c>
      <c r="DZ10" s="149" t="str">
        <f t="shared" si="9"/>
        <v>Las actividades realizadas contribuyen a fortalecer los mecanismos que permitan al ciudadano tener accso a la inforamción pública de manera clara, precisa y oportuna</v>
      </c>
      <c r="EA10" s="149">
        <f t="shared" si="9"/>
        <v>17</v>
      </c>
      <c r="EB10" s="149">
        <f t="shared" si="9"/>
        <v>17</v>
      </c>
      <c r="EC10" s="149" t="str">
        <f t="shared" si="9"/>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v>
      </c>
      <c r="ED10" s="149" t="str">
        <f t="shared" si="9"/>
        <v>No se presentaron retrasos o dificultades para la realización de las actividades</v>
      </c>
      <c r="EE10" s="149" t="str">
        <f t="shared" si="10"/>
        <v>Las actividades realizadas contribuyen a fortalecer los mecanismos que permitan al ciudadano tener accso a la inforamción pública de manera clara, precisa y oportuna</v>
      </c>
      <c r="EF10" s="149">
        <f t="shared" si="10"/>
        <v>17</v>
      </c>
      <c r="EG10" s="149">
        <f t="shared" si="10"/>
        <v>17</v>
      </c>
      <c r="EH10" s="149" t="str">
        <f t="shared" si="10"/>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 seguimiento al cumplimiento del esquema de publicación</v>
      </c>
      <c r="EI10" s="149" t="str">
        <f t="shared" si="10"/>
        <v>Por efectos de la emergencia sanitaria se han presentado dificultades para la ralización de las actividades pero se han podido solucionar con el uso de la tecnología</v>
      </c>
      <c r="EJ10" s="149" t="str">
        <f t="shared" si="10"/>
        <v>Las actividades realizadas contribuyen a fortalecer los mecanismos que permitan al ciudadano tener accso a la inforamción pública de manera clara, precisa y oportuna</v>
      </c>
      <c r="EK10" s="149">
        <f t="shared" si="10"/>
        <v>20</v>
      </c>
      <c r="EL10" s="149">
        <f t="shared" si="10"/>
        <v>20</v>
      </c>
      <c r="EM10" s="149" t="str">
        <f t="shared" si="10"/>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 actualización del esquema de publicación, capacitación en temas de contratación</v>
      </c>
      <c r="EN10" s="149" t="str">
        <f t="shared" si="10"/>
        <v>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v>
      </c>
      <c r="EO10" s="149" t="str">
        <f t="shared" si="11"/>
        <v>Las actividades realizadas contribuyen a fortalecer los mecanismos que permitan al ciudadano tener accso a la inforamción pública de manera clara, precisa y oportuna</v>
      </c>
      <c r="EP10" s="149">
        <f t="shared" si="11"/>
        <v>24</v>
      </c>
      <c r="EQ10" s="149">
        <f t="shared" si="11"/>
        <v>24</v>
      </c>
      <c r="ER10" s="149" t="str">
        <f t="shared" si="11"/>
        <v>La ejecución se ha venido realizando conforme a la programción establecida con el ánimo de fortalecer  mecanismos de transparencia y acceso a la información pública, Para ello se realizaron actividades como realizar publicaciones en la página web de la entidad, seguimiento al cumplimiento de términos legales para resolver peticiones,  consolidación de la inforamción de peticiones ciudadanas,  informe de seguimiento a peticiones de acceso a la información pública,capacitación en temas de contratación</v>
      </c>
      <c r="ES10" s="149" t="str">
        <f t="shared" si="11"/>
        <v>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v>
      </c>
      <c r="ET10" s="149" t="str">
        <f t="shared" si="11"/>
        <v>Las actividades realizadas contribuyen a fortalecer los mecanismos que permitan al ciudadano tener accso a la inforamción pública de manera clara, precisa y oportuna</v>
      </c>
      <c r="EU10" s="149">
        <f t="shared" si="11"/>
        <v>19</v>
      </c>
      <c r="EV10" s="149">
        <f t="shared" si="11"/>
        <v>19</v>
      </c>
      <c r="EW10" s="149" t="str">
        <f t="shared" si="11"/>
        <v>Se realizaron publicaciones en la página web de la entidad conforme al esquema de publicación, se realizó seguimiento al cumplimiento de términos legales para resolver peticiones,  se consolidó la inforamción de peticiones ciudadanas,  Se realizó seguimiento del chat y  del chat-Bot de la línea 195 y de la aplicación SuperCADE Virtual, se elaboró un informe de seguimiento a peticiones de acceso a la información pública.</v>
      </c>
      <c r="EX10" s="149" t="str">
        <f t="shared" si="11"/>
        <v>Ninguna</v>
      </c>
      <c r="EY10" s="149" t="str">
        <f t="shared" si="11"/>
        <v>Las actividades realizadas contribuyen a fortalecer los mecanismos que permitan al ciudadano tener accso a la inforamción pública de manera clara, precisa y oportuna, de igual forma la información obtenida se utiliza para mejorar los procesos y prestar un mejor servicio</v>
      </c>
      <c r="EZ10" s="149">
        <f t="shared" si="11"/>
        <v>114</v>
      </c>
      <c r="FA10" s="149">
        <f t="shared" si="11"/>
        <v>114</v>
      </c>
      <c r="FB10" s="149" t="str">
        <f t="shared" si="11"/>
        <v/>
      </c>
      <c r="FC10" s="149" t="str">
        <f t="shared" si="11"/>
        <v/>
      </c>
      <c r="FD10" s="149" t="str">
        <f t="shared" si="12"/>
        <v/>
      </c>
      <c r="FE10" s="149" t="str">
        <f t="shared" si="12"/>
        <v/>
      </c>
      <c r="FF10" s="149" t="str">
        <f t="shared" si="12"/>
        <v/>
      </c>
      <c r="FG10" s="149" t="str">
        <f t="shared" si="12"/>
        <v/>
      </c>
      <c r="FH10" s="149" t="str">
        <f t="shared" si="12"/>
        <v/>
      </c>
      <c r="FI10" s="149" t="str">
        <f t="shared" si="12"/>
        <v/>
      </c>
      <c r="FJ10" s="149" t="str">
        <f t="shared" si="12"/>
        <v/>
      </c>
      <c r="FK10" s="149" t="str">
        <f t="shared" si="12"/>
        <v/>
      </c>
      <c r="FL10" s="149" t="str">
        <f t="shared" si="12"/>
        <v/>
      </c>
      <c r="FM10" s="149" t="str">
        <f t="shared" si="12"/>
        <v/>
      </c>
      <c r="FN10" s="149" t="str">
        <f t="shared" si="13"/>
        <v/>
      </c>
      <c r="FO10" s="149" t="str">
        <f t="shared" si="13"/>
        <v/>
      </c>
      <c r="FP10" s="149" t="str">
        <f t="shared" si="13"/>
        <v/>
      </c>
      <c r="FQ10" s="149" t="str">
        <f t="shared" si="13"/>
        <v/>
      </c>
      <c r="FR10" s="149" t="str">
        <f t="shared" si="13"/>
        <v/>
      </c>
      <c r="FS10" s="149" t="str">
        <f t="shared" si="13"/>
        <v/>
      </c>
      <c r="FT10" s="149" t="str">
        <f t="shared" si="13"/>
        <v/>
      </c>
      <c r="FU10" s="149" t="str">
        <f t="shared" si="13"/>
        <v/>
      </c>
      <c r="FV10" s="149" t="str">
        <f t="shared" si="13"/>
        <v/>
      </c>
      <c r="FW10" s="149" t="str">
        <f t="shared" si="13"/>
        <v/>
      </c>
      <c r="FX10" s="149" t="str">
        <f t="shared" si="14"/>
        <v/>
      </c>
      <c r="FY10" s="149" t="str">
        <f t="shared" si="14"/>
        <v/>
      </c>
      <c r="FZ10" s="149" t="str">
        <f t="shared" si="14"/>
        <v/>
      </c>
      <c r="GA10" s="149" t="str">
        <f t="shared" si="14"/>
        <v/>
      </c>
      <c r="GB10" s="149" t="str">
        <f t="shared" si="14"/>
        <v/>
      </c>
      <c r="GC10" s="149" t="str">
        <f t="shared" si="14"/>
        <v/>
      </c>
      <c r="GD10" s="149" t="str">
        <f t="shared" si="14"/>
        <v/>
      </c>
      <c r="GE10" s="149" t="str">
        <f t="shared" si="14"/>
        <v/>
      </c>
      <c r="GF10" s="149">
        <f>+IFERROR(IF(DW10=0,DV10/DO10,DV10/DW10),DV10)</f>
        <v>1</v>
      </c>
      <c r="GG10" s="149">
        <f>+IFERROR(IF(EB10=0,EA10/DP10,EA10/EB10),EA10)</f>
        <v>1</v>
      </c>
      <c r="GH10" s="149">
        <f>+IFERROR(IF(EG10=0,EF10/DQ10,EF10/EG10),EF10)</f>
        <v>1</v>
      </c>
      <c r="GI10" s="149">
        <f>+IFERROR(IF(EL10=0,EK10/DR10,EK10/EL10),EK10)</f>
        <v>1</v>
      </c>
      <c r="GJ10" s="149">
        <f>+IFERROR(IF(EQ10=0,EP10/DS10,EP10/EQ10),EP10)</f>
        <v>1</v>
      </c>
      <c r="GK10" s="149">
        <f>+IF(FA10=0,EZ10,EZ10/FA10)</f>
        <v>1</v>
      </c>
      <c r="GL10" s="149">
        <f t="shared" si="15"/>
        <v>7.2340425531914887</v>
      </c>
      <c r="GM10" s="149">
        <f t="shared" si="16"/>
        <v>7.2340425531914887</v>
      </c>
      <c r="GN10" s="149">
        <f t="shared" si="17"/>
        <v>7.2340425531914887</v>
      </c>
      <c r="GO10" s="149">
        <f t="shared" si="18"/>
        <v>8.5106382978723403</v>
      </c>
      <c r="GP10" s="149">
        <f t="shared" si="19"/>
        <v>10.212765957446807</v>
      </c>
      <c r="GQ10" s="149">
        <f t="shared" si="19"/>
        <v>8.085106382978724</v>
      </c>
      <c r="GR10" s="153">
        <f t="shared" si="26"/>
        <v>48.510638297872333</v>
      </c>
      <c r="GS10" s="149">
        <f t="shared" si="27"/>
        <v>100</v>
      </c>
      <c r="GT10" s="149">
        <f>+IF(OR($A10=52,$A10=124),1,IFERROR(IF($X10="Creciente",IF($AB10="Número",SUM($GL10:GM10)/SUM($DO10:DP10)*($AX10-$AW10),SUM($GL10:GM10)/SUM($DO10:DP10))*($AX10-$AW10),IF($DG10="Creciente",GM10*GM10/GM10,IF(AND($DG10="Constante",$AB10="Porcentaje"),AVERAGEIF($GL10:GM10,"&lt;&gt;0")/AVERAGEIF($DO10:DP10,"&lt;&gt;0")*100,SUM($GL10:GM10)/SUM($DO10:DP10)*$DU10))),GS10))</f>
        <v>100</v>
      </c>
      <c r="GU10" s="149">
        <f>+IF(OR($A10=52,$A10=124),1,IFERROR(IF($X10="Creciente",IF($AB10="Número",SUM($GL10:GN10)/SUM($DO10:DQ10)*($AX10-$AW10),SUM($GL10:GN10)/SUM($DO10:DQ10))*($AX10-$AW10),IF($DG10="Creciente",GN10*GN10/GN10,IF(AND($DG10="Constante",$AB10="Porcentaje"),AVERAGEIF($GL10:GN10,"&lt;&gt;0")/AVERAGEIF($DO10:DQ10,"&lt;&gt;0")*100,SUM($GL10:GN10)/SUM($DO10:DQ10)*$DU10))),GT10))</f>
        <v>100</v>
      </c>
      <c r="GV10" s="149">
        <f>+IF(OR($A10=52,$A10=124),1,IFERROR(IF($X10="Creciente",IF($AB10="Número",SUM($GL10:GO10)/SUM($DO10:DR10)*($AX10-$AW10),SUM($GL10:GO10)/SUM($DO10:DR10))*($AX10-$AW10),IF($DG10="Creciente",GO10*GO10/GO10,IF(AND($DG10="Constante",$AB10="Porcentaje"),AVERAGEIF($GL10:GO10,"&lt;&gt;0")/AVERAGEIF($DO10:DR10,"&lt;&gt;0")*100,SUM($GL10:GO10)/SUM($DO10:DR10)*$DU10))),GU10))</f>
        <v>100</v>
      </c>
      <c r="GW10" s="149">
        <f>+IF(OR($A10=52,$A10=124),1,IFERROR(IF($X10="Creciente",IF($AB10="Número",SUM($GL10:GP10)/SUM($DO10:DS10)*($AX10-$AW10),SUM($GL10:GP10)/SUM($DO10:DS10))*($AX10-$AW10),IF($DG10="Creciente",GP10*GP10/GP10,IF(AND($DG10="Constante",$AB10="Porcentaje"),AVERAGEIF($GL10:GP10,"&lt;&gt;0")/AVERAGEIF($DO10:DS10,"&lt;&gt;0")*100,SUM($GL10:GP10)/SUM($DO10:DS10)*$DU10))),GV10))</f>
        <v>100</v>
      </c>
      <c r="GX10" s="149">
        <f>+IF(OR($A10=52,$A10=124),1,IFERROR(IF($X10="Creciente",IF($AB10="Número",SUM($GL10:GQ10)/SUM($DO10:DT10)*($AX10-$AW10),SUM($GL10:GQ10)/SUM($DO10:DT10))*($AX10-$AW10),IF($DG10="Creciente",GQ10*GQ10/GQ10,IF(AND($DG10="Constante",$AB10="Porcentaje"),AVERAGEIF($GL10:GQ10,"&lt;&gt;0")/AVERAGEIF($DO10:DT10,"&lt;&gt;0")*100,SUM($GL10:GQ10)/SUM($DO10:DT10)*$DU10))),GW10))</f>
        <v>100</v>
      </c>
      <c r="GY10" s="149" t="str">
        <f t="shared" si="28"/>
        <v>Este indicador mide el avance en la ejecución de las actividades programadas en la vigencia, para el Componente 5 del Plan Anticorrupción y Atención al Ciudadano en la Secretaria General de la Alcaldía Mayor de Bogotá D.C.</v>
      </c>
      <c r="GZ10" s="149" t="str">
        <f t="shared" si="29"/>
        <v>Prestar apoyo técnico a las dependencias en lo relacionado con la formulación y el desarrollo de las actividades asociadas al componente 5 del Plan Anticorrupción y Atención al Ciudadano.
Hacer monitoreo y seguimiento a las dependencias responsables de la ejecución de las actividades programadas en el componenente 5 del Plan Anticorrupción y Atención al Ciudadano.</v>
      </c>
      <c r="HA10" s="149" t="str">
        <f t="shared" si="30"/>
        <v>Desarrollar acciones para la implementación de la ley 1712 de 2014 y los lineamientos  del primer objetivo del CONPES 167 de 2013 “Estrategia para el mejoramiento del acceso y la calidad de la información pública”</v>
      </c>
      <c r="HB10" s="149" t="str">
        <f t="shared" si="31"/>
        <v>Botón de transparencia de la página web de la Secretaría General
Reportes de las dependencias</v>
      </c>
      <c r="HC10" s="149" t="str">
        <f t="shared" si="20"/>
        <v>No aplica</v>
      </c>
      <c r="HD10" s="149" t="str">
        <f t="shared" si="20"/>
        <v>Cumplido</v>
      </c>
      <c r="HE10" s="149" t="str">
        <f t="shared" si="20"/>
        <v>No adecuado</v>
      </c>
      <c r="HF10" s="149" t="str">
        <f t="shared" si="20"/>
        <v>Coherente</v>
      </c>
      <c r="HG10" s="149" t="str">
        <f t="shared" si="20"/>
        <v>Indeterminado</v>
      </c>
      <c r="HH10" s="149" t="str">
        <f t="shared" si="20"/>
        <v>Indeterminado</v>
      </c>
      <c r="HI10" s="149" t="str">
        <f t="shared" si="20"/>
        <v>No aplica</v>
      </c>
      <c r="HJ10" s="149" t="str">
        <f t="shared" si="20"/>
        <v>Indeterminado</v>
      </c>
      <c r="HK10" s="149" t="str">
        <f t="shared" si="20"/>
        <v>Oportuna</v>
      </c>
      <c r="HL10" s="149" t="str">
        <f t="shared" si="20"/>
        <v xml:space="preserve">El reporte de las evidencias debería guardar correspondencia con el número de las actividades ejecutadas, de manera que sean fácilmente verificables. De otra parte, el avance cualitativo no señala a qué actividades corresponde el avance del indicador, lo que podría facilitar el cotejo de evidencias. Tanto el avance cualitativo y los beneficios deberían estar mas relacionados con el desarrollo de las actividades puntuales en cada mes. Dado que se ha cumplido con el indicador no debería hacerse una declaración de dificultades en el avance. </v>
      </c>
      <c r="HM10" s="149" t="str">
        <f t="shared" si="21"/>
        <v>Fernando Escobar Mendoza</v>
      </c>
      <c r="HN10" s="149" t="str">
        <f t="shared" si="21"/>
        <v>Cumple</v>
      </c>
      <c r="HO10" s="149" t="str">
        <f t="shared" si="21"/>
        <v>Cumplido</v>
      </c>
      <c r="HP10" s="149" t="str">
        <f t="shared" si="21"/>
        <v>Adecuado</v>
      </c>
      <c r="HQ10" s="149" t="str">
        <f t="shared" si="21"/>
        <v>Coherente</v>
      </c>
      <c r="HR10" s="149" t="str">
        <f t="shared" si="21"/>
        <v>Concuerda</v>
      </c>
      <c r="HS10" s="149" t="str">
        <f t="shared" si="21"/>
        <v>No aplica</v>
      </c>
      <c r="HT10" s="149" t="str">
        <f t="shared" si="21"/>
        <v>No aplica</v>
      </c>
      <c r="HU10" s="149" t="str">
        <f t="shared" si="21"/>
        <v>Adecuado</v>
      </c>
      <c r="HV10" s="149" t="str">
        <f t="shared" si="21"/>
        <v>Oportuna</v>
      </c>
      <c r="HW10" s="149" t="str">
        <f t="shared" si="21"/>
        <v>Ninguna</v>
      </c>
      <c r="HX10" s="149" t="str">
        <f t="shared" si="21"/>
        <v>Fernando Escobar Mendoza</v>
      </c>
    </row>
    <row r="11" spans="1:241" s="149" customFormat="1" x14ac:dyDescent="0.3">
      <c r="A11" s="145" t="s">
        <v>1192</v>
      </c>
      <c r="B11" s="146" t="s">
        <v>1144</v>
      </c>
      <c r="C11" s="146" t="s">
        <v>1144</v>
      </c>
      <c r="D11" s="146" t="s">
        <v>1144</v>
      </c>
      <c r="E11" s="146" t="s">
        <v>1144</v>
      </c>
      <c r="F11" s="136" t="s">
        <v>1193</v>
      </c>
      <c r="G11" s="146" t="s">
        <v>1144</v>
      </c>
      <c r="H11" s="146" t="s">
        <v>1144</v>
      </c>
      <c r="I11" s="135" t="s">
        <v>1146</v>
      </c>
      <c r="J11" s="135" t="s">
        <v>105</v>
      </c>
      <c r="K11" s="135" t="s">
        <v>106</v>
      </c>
      <c r="L11" s="135" t="s">
        <v>107</v>
      </c>
      <c r="M11" s="135" t="s">
        <v>1147</v>
      </c>
      <c r="N11" s="135" t="s">
        <v>1148</v>
      </c>
      <c r="O11" s="147" t="s">
        <v>1149</v>
      </c>
      <c r="P11" s="148"/>
      <c r="Q11" s="135" t="s">
        <v>1194</v>
      </c>
      <c r="R11" s="135" t="s">
        <v>1195</v>
      </c>
      <c r="S11" s="135" t="s">
        <v>1152</v>
      </c>
      <c r="T11" s="135" t="s">
        <v>1153</v>
      </c>
      <c r="U11" s="135" t="s">
        <v>1154</v>
      </c>
      <c r="V11" s="135" t="s">
        <v>1196</v>
      </c>
      <c r="W11" s="148" t="s">
        <v>601</v>
      </c>
      <c r="X11" s="135" t="s">
        <v>601</v>
      </c>
      <c r="Y11" s="135" t="s">
        <v>1197</v>
      </c>
      <c r="Z11" s="135" t="s">
        <v>1198</v>
      </c>
      <c r="AA11" s="135" t="s">
        <v>1199</v>
      </c>
      <c r="AB11" s="135" t="s">
        <v>602</v>
      </c>
      <c r="AC11" s="135" t="s">
        <v>1159</v>
      </c>
      <c r="AD11" s="135" t="s">
        <v>1160</v>
      </c>
      <c r="AE11" s="135">
        <v>2020</v>
      </c>
      <c r="AF11" s="119">
        <v>100</v>
      </c>
      <c r="AG11" s="149">
        <v>2019</v>
      </c>
      <c r="AH11" s="118" t="s">
        <v>1161</v>
      </c>
      <c r="AI11" s="118" t="s">
        <v>1161</v>
      </c>
      <c r="AJ11" s="118" t="s">
        <v>1161</v>
      </c>
      <c r="AK11" s="118" t="s">
        <v>1161</v>
      </c>
      <c r="AL11" s="118" t="s">
        <v>1161</v>
      </c>
      <c r="AM11" s="118" t="s">
        <v>1161</v>
      </c>
      <c r="AN11" s="146" t="s">
        <v>1144</v>
      </c>
      <c r="AO11" s="146" t="s">
        <v>1144</v>
      </c>
      <c r="AP11" s="146" t="s">
        <v>1144</v>
      </c>
      <c r="AQ11" s="146" t="s">
        <v>1144</v>
      </c>
      <c r="AR11" s="146" t="s">
        <v>1144</v>
      </c>
      <c r="AS11" s="150" t="s">
        <v>1144</v>
      </c>
      <c r="AT11" s="130" t="s">
        <v>1161</v>
      </c>
      <c r="AU11" s="130" t="s">
        <v>1161</v>
      </c>
      <c r="AV11" s="130" t="s">
        <v>1161</v>
      </c>
      <c r="AW11" s="130" t="s">
        <v>1161</v>
      </c>
      <c r="AX11" s="131">
        <v>100</v>
      </c>
      <c r="AY11" s="151" t="s">
        <v>1144</v>
      </c>
      <c r="AZ11" s="146" t="s">
        <v>1144</v>
      </c>
      <c r="BA11" s="146" t="s">
        <v>1144</v>
      </c>
      <c r="BB11" s="146" t="s">
        <v>1144</v>
      </c>
      <c r="BC11" s="146" t="s">
        <v>1144</v>
      </c>
      <c r="BD11" s="146">
        <v>0</v>
      </c>
      <c r="BE11" s="146" t="s">
        <v>1144</v>
      </c>
      <c r="BF11" s="146" t="s">
        <v>1144</v>
      </c>
      <c r="BG11" s="146" t="s">
        <v>1144</v>
      </c>
      <c r="BH11" s="146" t="s">
        <v>1144</v>
      </c>
      <c r="BI11" s="146" t="s">
        <v>1144</v>
      </c>
      <c r="BJ11" s="146">
        <v>0</v>
      </c>
      <c r="BK11" s="146" t="s">
        <v>1144</v>
      </c>
      <c r="BL11" s="146" t="s">
        <v>1144</v>
      </c>
      <c r="BM11" s="146" t="s">
        <v>1144</v>
      </c>
      <c r="BN11" s="146" t="s">
        <v>1144</v>
      </c>
      <c r="BO11" s="146" t="s">
        <v>1144</v>
      </c>
      <c r="BP11" s="146" t="s">
        <v>1144</v>
      </c>
      <c r="BQ11" s="146" t="s">
        <v>1144</v>
      </c>
      <c r="BR11" s="146" t="s">
        <v>1144</v>
      </c>
      <c r="BS11" s="146" t="s">
        <v>1144</v>
      </c>
      <c r="BT11" s="146" t="s">
        <v>1144</v>
      </c>
      <c r="BU11" s="146" t="s">
        <v>1144</v>
      </c>
      <c r="BV11" s="146" t="s">
        <v>1144</v>
      </c>
      <c r="BW11" s="146" t="s">
        <v>1144</v>
      </c>
      <c r="BX11" s="146" t="s">
        <v>1144</v>
      </c>
      <c r="BY11" s="146" t="s">
        <v>1144</v>
      </c>
      <c r="BZ11" s="146" t="s">
        <v>1144</v>
      </c>
      <c r="CA11" s="146" t="s">
        <v>1144</v>
      </c>
      <c r="CB11" s="146" t="s">
        <v>1144</v>
      </c>
      <c r="CC11" s="146" t="s">
        <v>1144</v>
      </c>
      <c r="CD11" s="146" t="s">
        <v>1144</v>
      </c>
      <c r="CE11" s="146" t="s">
        <v>1144</v>
      </c>
      <c r="CF11" s="149">
        <v>1</v>
      </c>
      <c r="CG11" s="146" t="s">
        <v>1144</v>
      </c>
      <c r="CH11" s="146" t="s">
        <v>1144</v>
      </c>
      <c r="CI11" s="146" t="s">
        <v>1144</v>
      </c>
      <c r="CJ11" s="146" t="s">
        <v>1144</v>
      </c>
      <c r="CK11" s="146" t="s">
        <v>1144</v>
      </c>
      <c r="CL11" s="146" t="s">
        <v>1144</v>
      </c>
      <c r="CM11" s="146" t="s">
        <v>1144</v>
      </c>
      <c r="CN11" s="146" t="s">
        <v>1144</v>
      </c>
      <c r="CO11" s="146" t="s">
        <v>1144</v>
      </c>
      <c r="CP11" s="146" t="s">
        <v>1144</v>
      </c>
      <c r="CQ11" s="146" t="s">
        <v>1144</v>
      </c>
      <c r="CR11" s="146" t="s">
        <v>1144</v>
      </c>
      <c r="CS11" s="146" t="s">
        <v>1144</v>
      </c>
      <c r="CT11" s="146" t="s">
        <v>1144</v>
      </c>
      <c r="CU11" s="146" t="s">
        <v>1144</v>
      </c>
      <c r="CV11" s="146" t="s">
        <v>1144</v>
      </c>
      <c r="CW11" s="146" t="s">
        <v>1144</v>
      </c>
      <c r="CX11" s="146" t="s">
        <v>1144</v>
      </c>
      <c r="CY11" s="146" t="s">
        <v>1144</v>
      </c>
      <c r="CZ11" s="146" t="s">
        <v>1144</v>
      </c>
      <c r="DA11" s="146" t="s">
        <v>1144</v>
      </c>
      <c r="DB11" s="152" t="str">
        <f t="shared" si="32"/>
        <v xml:space="preserve">PAAC, </v>
      </c>
      <c r="DC11" s="149" t="str">
        <f t="shared" si="1"/>
        <v>Este indicador mide el avance en la ejecución de las actividades programadas en la vigencia, para el Componente 6 del Plan Anticorrupción y Atención al Ciudadano en la Secretaria General de la Alcaldía Mayor de Bogotá D.C.</v>
      </c>
      <c r="DD11" s="149" t="str">
        <f t="shared" si="1"/>
        <v>Prestar apoyo técnico a las dependencias en lo relacionado con la formulación y el desarrollo de las actividades asociadas al componente 6 del Plan Anticorrupción y Atención al Ciudadano.
Hacer monitoreo y seguimiento a las dependencias responsables de la ejecución de las actividades programadas en el componenente 6 del Plan Anticorrupción y Atención al Ciudadano.</v>
      </c>
      <c r="DE11" s="149" t="str">
        <f t="shared" si="1"/>
        <v>Promocionar prácticas éticas en la gestión cotidiana que permitan fortalecer la cultura organizacional y generar cambios comportamentales en los Funcionarios y Contratistas de la Entidad, tendientes a la no tolerancia con la corrupción.</v>
      </c>
      <c r="DF11" s="149" t="str">
        <f t="shared" si="1"/>
        <v>Reportes de las dependencias</v>
      </c>
      <c r="DG11" s="149" t="str">
        <f t="shared" si="1"/>
        <v>Suma</v>
      </c>
      <c r="DH11" s="149">
        <f t="shared" si="2"/>
        <v>31</v>
      </c>
      <c r="DI11" s="149">
        <f t="shared" si="3"/>
        <v>0</v>
      </c>
      <c r="DJ11" s="149">
        <f t="shared" si="4"/>
        <v>0</v>
      </c>
      <c r="DK11" s="149">
        <f t="shared" si="5"/>
        <v>0</v>
      </c>
      <c r="DL11" s="149">
        <f t="shared" si="6"/>
        <v>1</v>
      </c>
      <c r="DM11" s="149">
        <f t="shared" si="7"/>
        <v>0</v>
      </c>
      <c r="DN11" s="149">
        <f t="shared" si="35"/>
        <v>0</v>
      </c>
      <c r="DO11" s="149">
        <f t="shared" si="8"/>
        <v>0</v>
      </c>
      <c r="DP11" s="149">
        <f t="shared" si="8"/>
        <v>0</v>
      </c>
      <c r="DQ11" s="149">
        <f t="shared" si="8"/>
        <v>0</v>
      </c>
      <c r="DR11" s="149">
        <f t="shared" si="8"/>
        <v>3.225806451612903</v>
      </c>
      <c r="DS11" s="149">
        <f t="shared" si="8"/>
        <v>0</v>
      </c>
      <c r="DT11" s="149">
        <f t="shared" si="8"/>
        <v>0</v>
      </c>
      <c r="DU11" s="149">
        <f t="shared" si="9"/>
        <v>100</v>
      </c>
      <c r="DV11" s="149" t="str">
        <f t="shared" si="9"/>
        <v/>
      </c>
      <c r="DW11" s="149" t="str">
        <f t="shared" si="9"/>
        <v/>
      </c>
      <c r="DX11" s="149" t="str">
        <f t="shared" si="9"/>
        <v>No Aplica</v>
      </c>
      <c r="DY11" s="149" t="str">
        <f t="shared" si="9"/>
        <v>No Aplica</v>
      </c>
      <c r="DZ11" s="149" t="str">
        <f t="shared" si="9"/>
        <v>No Aplica</v>
      </c>
      <c r="EA11" s="149" t="str">
        <f t="shared" si="9"/>
        <v/>
      </c>
      <c r="EB11" s="149" t="str">
        <f t="shared" si="9"/>
        <v/>
      </c>
      <c r="EC11" s="149" t="str">
        <f t="shared" si="9"/>
        <v>No Aplica</v>
      </c>
      <c r="ED11" s="149" t="str">
        <f t="shared" si="9"/>
        <v>No Aplica</v>
      </c>
      <c r="EE11" s="149" t="str">
        <f t="shared" si="10"/>
        <v>No Aplica</v>
      </c>
      <c r="EF11" s="149" t="str">
        <f t="shared" si="10"/>
        <v/>
      </c>
      <c r="EG11" s="149" t="str">
        <f t="shared" si="10"/>
        <v/>
      </c>
      <c r="EH11" s="149" t="str">
        <f t="shared" si="10"/>
        <v>No Aplica</v>
      </c>
      <c r="EI11" s="149" t="str">
        <f t="shared" si="10"/>
        <v>No Aplica</v>
      </c>
      <c r="EJ11" s="149" t="str">
        <f t="shared" si="10"/>
        <v>No Aplica</v>
      </c>
      <c r="EK11" s="149">
        <f t="shared" si="10"/>
        <v>1</v>
      </c>
      <c r="EL11" s="149">
        <f t="shared" si="10"/>
        <v>1</v>
      </c>
      <c r="EM11" s="149" t="str">
        <f t="shared" si="10"/>
        <v>Se sensibilizó al equipo directivo de la secretaría General para el fortalecimiento de la cultura ética de la entidad</v>
      </c>
      <c r="EN11" s="149" t="str">
        <f t="shared" si="10"/>
        <v>Por efectos de la emergencia sanitaria se han presentado dificultades para la ralización de las actividades pero se han podido solucionar con el uso de la tecnología. Las capacitaciones que se tenían programadas se tuvieron que realizar de forma virtual unificando temas y con mas pocos eventos de capacitación</v>
      </c>
      <c r="EO11" s="149" t="str">
        <f t="shared" si="11"/>
        <v>Las actividades realizadas contribuyen a fortalecer los mecanismos que permitan la cultura ética y la integridad en  valores comportamientos y hábitos de los servidores públicos y contratsitas de la entidad</v>
      </c>
      <c r="EP11" s="149" t="str">
        <f t="shared" si="11"/>
        <v/>
      </c>
      <c r="EQ11" s="149" t="str">
        <f t="shared" si="11"/>
        <v/>
      </c>
      <c r="ER11" s="149" t="str">
        <f t="shared" si="11"/>
        <v>No Aplica</v>
      </c>
      <c r="ES11" s="149" t="str">
        <f t="shared" si="11"/>
        <v>No Aplica</v>
      </c>
      <c r="ET11" s="149" t="str">
        <f t="shared" si="11"/>
        <v>No Aplica</v>
      </c>
      <c r="EU11" s="149">
        <f t="shared" si="11"/>
        <v>0</v>
      </c>
      <c r="EV11" s="149">
        <f t="shared" si="11"/>
        <v>0</v>
      </c>
      <c r="EW11" s="149" t="str">
        <f t="shared" si="11"/>
        <v>No Aplica</v>
      </c>
      <c r="EX11" s="149" t="str">
        <f t="shared" si="11"/>
        <v>No Aplica</v>
      </c>
      <c r="EY11" s="149" t="str">
        <f t="shared" si="11"/>
        <v>No Aplica</v>
      </c>
      <c r="EZ11" s="149">
        <f t="shared" si="11"/>
        <v>1</v>
      </c>
      <c r="FA11" s="149">
        <f t="shared" si="11"/>
        <v>1</v>
      </c>
      <c r="FB11" s="149" t="str">
        <f t="shared" si="11"/>
        <v/>
      </c>
      <c r="FC11" s="149" t="str">
        <f t="shared" si="11"/>
        <v/>
      </c>
      <c r="FD11" s="149" t="str">
        <f t="shared" si="12"/>
        <v/>
      </c>
      <c r="FE11" s="149" t="str">
        <f t="shared" si="12"/>
        <v/>
      </c>
      <c r="FF11" s="149" t="str">
        <f t="shared" si="12"/>
        <v/>
      </c>
      <c r="FG11" s="149" t="str">
        <f t="shared" si="12"/>
        <v/>
      </c>
      <c r="FH11" s="149" t="str">
        <f t="shared" si="12"/>
        <v/>
      </c>
      <c r="FI11" s="149" t="str">
        <f t="shared" si="12"/>
        <v/>
      </c>
      <c r="FJ11" s="149" t="str">
        <f t="shared" si="12"/>
        <v/>
      </c>
      <c r="FK11" s="149" t="str">
        <f t="shared" si="12"/>
        <v/>
      </c>
      <c r="FL11" s="149" t="str">
        <f t="shared" si="12"/>
        <v/>
      </c>
      <c r="FM11" s="149" t="str">
        <f t="shared" si="12"/>
        <v/>
      </c>
      <c r="FN11" s="149" t="str">
        <f t="shared" si="13"/>
        <v/>
      </c>
      <c r="FO11" s="149" t="str">
        <f t="shared" si="13"/>
        <v/>
      </c>
      <c r="FP11" s="149" t="str">
        <f t="shared" si="13"/>
        <v/>
      </c>
      <c r="FQ11" s="149" t="str">
        <f t="shared" si="13"/>
        <v/>
      </c>
      <c r="FR11" s="149" t="str">
        <f t="shared" si="13"/>
        <v/>
      </c>
      <c r="FS11" s="149" t="str">
        <f t="shared" si="13"/>
        <v/>
      </c>
      <c r="FT11" s="149" t="str">
        <f t="shared" si="13"/>
        <v/>
      </c>
      <c r="FU11" s="149" t="str">
        <f t="shared" si="13"/>
        <v/>
      </c>
      <c r="FV11" s="149" t="str">
        <f t="shared" si="13"/>
        <v/>
      </c>
      <c r="FW11" s="149" t="str">
        <f t="shared" si="13"/>
        <v/>
      </c>
      <c r="FX11" s="149" t="str">
        <f t="shared" si="14"/>
        <v/>
      </c>
      <c r="FY11" s="149" t="str">
        <f t="shared" si="14"/>
        <v/>
      </c>
      <c r="FZ11" s="149" t="str">
        <f t="shared" si="14"/>
        <v/>
      </c>
      <c r="GA11" s="149" t="str">
        <f t="shared" si="14"/>
        <v/>
      </c>
      <c r="GB11" s="149" t="str">
        <f t="shared" si="14"/>
        <v/>
      </c>
      <c r="GC11" s="149" t="str">
        <f t="shared" si="14"/>
        <v/>
      </c>
      <c r="GD11" s="149" t="str">
        <f t="shared" si="14"/>
        <v/>
      </c>
      <c r="GE11" s="149" t="str">
        <f t="shared" si="14"/>
        <v/>
      </c>
      <c r="GF11" s="149" t="str">
        <f t="shared" si="33"/>
        <v/>
      </c>
      <c r="GG11" s="149" t="str">
        <f t="shared" si="22"/>
        <v/>
      </c>
      <c r="GH11" s="149" t="str">
        <f t="shared" si="23"/>
        <v/>
      </c>
      <c r="GI11" s="149">
        <f t="shared" si="24"/>
        <v>1</v>
      </c>
      <c r="GJ11" s="149" t="str">
        <f t="shared" si="25"/>
        <v/>
      </c>
      <c r="GK11" s="149">
        <f t="shared" si="34"/>
        <v>1</v>
      </c>
      <c r="GL11" s="149">
        <f t="shared" si="15"/>
        <v>0</v>
      </c>
      <c r="GM11" s="149">
        <f t="shared" si="16"/>
        <v>0</v>
      </c>
      <c r="GN11" s="149">
        <f t="shared" si="17"/>
        <v>0</v>
      </c>
      <c r="GO11" s="149">
        <f t="shared" si="18"/>
        <v>3.225806451612903</v>
      </c>
      <c r="GP11" s="149">
        <f t="shared" si="19"/>
        <v>0</v>
      </c>
      <c r="GQ11" s="149">
        <f t="shared" si="19"/>
        <v>0</v>
      </c>
      <c r="GR11" s="153">
        <f t="shared" si="26"/>
        <v>3.225806451612903</v>
      </c>
      <c r="GS11" s="149" t="str">
        <f t="shared" si="27"/>
        <v>No Programó</v>
      </c>
      <c r="GT11" s="149" t="str">
        <f>+IF(OR($A11=52,$A11=124),1,IFERROR(IF($X11="Creciente",IF($AB11="Número",SUM($GL11:GM11)/SUM($DO11:DP11)*($AX11-$AW11),SUM($GL11:GM11)/SUM($DO11:DP11))*($AX11-$AW11),IF($DG11="Creciente",GM11*GM11/GM11,IF(AND($DG11="Constante",$AB11="Porcentaje"),AVERAGEIF($GL11:GM11,"&lt;&gt;0")/AVERAGEIF($DO11:DP11,"&lt;&gt;0")*100,SUM($GL11:GM11)/SUM($DO11:DP11)*$DU11))),GS11))</f>
        <v>No Programó</v>
      </c>
      <c r="GU11" s="149" t="str">
        <f>+IF(OR($A11=52,$A11=124),1,IFERROR(IF($X11="Creciente",IF($AB11="Número",SUM($GL11:GN11)/SUM($DO11:DQ11)*($AX11-$AW11),SUM($GL11:GN11)/SUM($DO11:DQ11))*($AX11-$AW11),IF($DG11="Creciente",GN11*GN11/GN11,IF(AND($DG11="Constante",$AB11="Porcentaje"),AVERAGEIF($GL11:GN11,"&lt;&gt;0")/AVERAGEIF($DO11:DQ11,"&lt;&gt;0")*100,SUM($GL11:GN11)/SUM($DO11:DQ11)*$DU11))),GT11))</f>
        <v>No Programó</v>
      </c>
      <c r="GV11" s="149">
        <f>+IF(OR($A11=52,$A11=124),1,IFERROR(IF($X11="Creciente",IF($AB11="Número",SUM($GL11:GO11)/SUM($DO11:DR11)*($AX11-$AW11),SUM($GL11:GO11)/SUM($DO11:DR11))*($AX11-$AW11),IF($DG11="Creciente",GO11*GO11/GO11,IF(AND($DG11="Constante",$AB11="Porcentaje"),AVERAGEIF($GL11:GO11,"&lt;&gt;0")/AVERAGEIF($DO11:DR11,"&lt;&gt;0")*100,SUM($GL11:GO11)/SUM($DO11:DR11)*$DU11))),GU11))</f>
        <v>100</v>
      </c>
      <c r="GW11" s="149">
        <f>+IF(OR($A11=52,$A11=124),1,IFERROR(IF($X11="Creciente",IF($AB11="Número",SUM($GL11:GP11)/SUM($DO11:DS11)*($AX11-$AW11),SUM($GL11:GP11)/SUM($DO11:DS11))*($AX11-$AW11),IF($DG11="Creciente",GP11*GP11/GP11,IF(AND($DG11="Constante",$AB11="Porcentaje"),AVERAGEIF($GL11:GP11,"&lt;&gt;0")/AVERAGEIF($DO11:DS11,"&lt;&gt;0")*100,SUM($GL11:GP11)/SUM($DO11:DS11)*$DU11))),GV11))</f>
        <v>100</v>
      </c>
      <c r="GX11" s="149">
        <f>+IF(OR($A11=52,$A11=124),1,IFERROR(IF($X11="Creciente",IF($AB11="Número",SUM($GL11:GQ11)/SUM($DO11:DT11)*($AX11-$AW11),SUM($GL11:GQ11)/SUM($DO11:DT11))*($AX11-$AW11),IF($DG11="Creciente",GQ11*GQ11/GQ11,IF(AND($DG11="Constante",$AB11="Porcentaje"),AVERAGEIF($GL11:GQ11,"&lt;&gt;0")/AVERAGEIF($DO11:DT11,"&lt;&gt;0")*100,SUM($GL11:GQ11)/SUM($DO11:DT11)*$DU11))),GW11))</f>
        <v>100</v>
      </c>
      <c r="GY11" s="149" t="str">
        <f t="shared" si="28"/>
        <v>Este indicador mide el avance en la ejecución de las actividades programadas en la vigencia, para el Componente 6 del Plan Anticorrupción y Atención al Ciudadano en la Secretaria General de la Alcaldía Mayor de Bogotá D.C.</v>
      </c>
      <c r="GZ11" s="149" t="str">
        <f t="shared" si="29"/>
        <v>Prestar apoyo técnico a las dependencias en lo relacionado con la formulación y el desarrollo de las actividades asociadas al componente 6 del Plan Anticorrupción y Atención al Ciudadano.
Hacer monitoreo y seguimiento a las dependencias responsables de la ejecución de las actividades programadas en el componenente 6 del Plan Anticorrupción y Atención al Ciudadano.</v>
      </c>
      <c r="HA11" s="149" t="str">
        <f t="shared" si="30"/>
        <v>Promocionar prácticas éticas en la gestión cotidiana que permitan fortalecer la cultura organizacional y generar cambios comportamentales en los Funcionarios y Contratistas de la Entidad, tendientes a la no tolerancia con la corrupción.</v>
      </c>
      <c r="HB11" s="149" t="str">
        <f t="shared" si="31"/>
        <v>Reportes de las dependencias</v>
      </c>
      <c r="HC11" s="149" t="str">
        <f t="shared" si="20"/>
        <v>Cumple</v>
      </c>
      <c r="HD11" s="149" t="str">
        <f t="shared" si="20"/>
        <v>Cumplido</v>
      </c>
      <c r="HE11" s="149" t="str">
        <f t="shared" si="20"/>
        <v>Adecuado</v>
      </c>
      <c r="HF11" s="149" t="str">
        <f t="shared" si="20"/>
        <v>Coherente</v>
      </c>
      <c r="HG11" s="149" t="str">
        <f t="shared" si="20"/>
        <v>Concuerda</v>
      </c>
      <c r="HH11" s="149" t="str">
        <f t="shared" si="20"/>
        <v>Indeterminado</v>
      </c>
      <c r="HI11" s="149" t="str">
        <f t="shared" si="20"/>
        <v>No aplica</v>
      </c>
      <c r="HJ11" s="149" t="str">
        <f t="shared" si="20"/>
        <v>Adecuado</v>
      </c>
      <c r="HK11" s="149" t="str">
        <f t="shared" si="20"/>
        <v>Oportuna</v>
      </c>
      <c r="HL11" s="149" t="str">
        <f t="shared" si="20"/>
        <v xml:space="preserve">El reporte de las evidencias debería guardar correspondencia con el número de las actividades ejecutadas, de manera que sean fácilmente verificables. Para el mes de abril se reporta 1 actividad realizada de 1 programada y en una carpeta de evidencias que contiene 4 archivos. Dado que se ha cumplido con el indicador no debería hacerse una declaración de dificultades en el avance. </v>
      </c>
      <c r="HM11" s="149" t="str">
        <f t="shared" si="21"/>
        <v>Fernando Escobar Mendoza</v>
      </c>
      <c r="HN11" s="149" t="str">
        <f t="shared" si="21"/>
        <v>No aplica</v>
      </c>
      <c r="HO11" s="149" t="str">
        <f t="shared" si="21"/>
        <v>No programó</v>
      </c>
      <c r="HP11" s="149" t="str">
        <f t="shared" si="21"/>
        <v>No aplica</v>
      </c>
      <c r="HQ11" s="149" t="str">
        <f t="shared" si="21"/>
        <v>No aplica</v>
      </c>
      <c r="HR11" s="149" t="str">
        <f t="shared" si="21"/>
        <v>No aplica</v>
      </c>
      <c r="HS11" s="149" t="str">
        <f t="shared" si="21"/>
        <v>No aplica</v>
      </c>
      <c r="HT11" s="149" t="str">
        <f t="shared" si="21"/>
        <v>No aplica</v>
      </c>
      <c r="HU11" s="149" t="str">
        <f t="shared" si="21"/>
        <v>No aplica</v>
      </c>
      <c r="HV11" s="149" t="str">
        <f t="shared" si="21"/>
        <v>Oportuna</v>
      </c>
      <c r="HW11" s="149" t="str">
        <f t="shared" si="21"/>
        <v>Niniguna</v>
      </c>
      <c r="HX11" s="149" t="str">
        <f t="shared" si="21"/>
        <v>Fernando Escobar Mendoza</v>
      </c>
    </row>
    <row r="12" spans="1:241" s="149" customFormat="1" x14ac:dyDescent="0.3">
      <c r="A12" s="145" t="s">
        <v>338</v>
      </c>
      <c r="B12" s="146" t="s">
        <v>1144</v>
      </c>
      <c r="C12" s="146" t="s">
        <v>1144</v>
      </c>
      <c r="D12" s="146" t="s">
        <v>1144</v>
      </c>
      <c r="E12" s="146" t="s">
        <v>1144</v>
      </c>
      <c r="F12" s="136" t="s">
        <v>1200</v>
      </c>
      <c r="G12" s="146" t="s">
        <v>1144</v>
      </c>
      <c r="H12" s="146" t="s">
        <v>1144</v>
      </c>
      <c r="I12" s="135" t="s">
        <v>1146</v>
      </c>
      <c r="J12" s="135" t="s">
        <v>105</v>
      </c>
      <c r="K12" s="135" t="s">
        <v>106</v>
      </c>
      <c r="L12" s="135" t="s">
        <v>107</v>
      </c>
      <c r="M12" s="135" t="s">
        <v>1201</v>
      </c>
      <c r="N12" s="135" t="s">
        <v>1202</v>
      </c>
      <c r="O12" s="147" t="s">
        <v>1203</v>
      </c>
      <c r="P12" s="148" t="s">
        <v>1200</v>
      </c>
      <c r="Q12" s="135" t="s">
        <v>1204</v>
      </c>
      <c r="R12" s="135" t="s">
        <v>1205</v>
      </c>
      <c r="S12" s="135" t="s">
        <v>1206</v>
      </c>
      <c r="T12" s="135" t="s">
        <v>1206</v>
      </c>
      <c r="U12" s="135" t="s">
        <v>642</v>
      </c>
      <c r="V12" s="135" t="s">
        <v>1207</v>
      </c>
      <c r="W12" s="148" t="s">
        <v>601</v>
      </c>
      <c r="X12" s="135" t="s">
        <v>601</v>
      </c>
      <c r="Y12" s="135" t="s">
        <v>1208</v>
      </c>
      <c r="Z12" s="135" t="s">
        <v>1209</v>
      </c>
      <c r="AA12" s="135" t="s">
        <v>1210</v>
      </c>
      <c r="AB12" s="135" t="s">
        <v>639</v>
      </c>
      <c r="AC12" s="135" t="s">
        <v>1159</v>
      </c>
      <c r="AD12" s="135" t="s">
        <v>1031</v>
      </c>
      <c r="AE12" s="135">
        <v>2016</v>
      </c>
      <c r="AF12" s="119">
        <v>0</v>
      </c>
      <c r="AG12" s="149">
        <v>2016</v>
      </c>
      <c r="AH12" s="118">
        <v>0</v>
      </c>
      <c r="AI12" s="118">
        <v>1</v>
      </c>
      <c r="AJ12" s="118">
        <v>1</v>
      </c>
      <c r="AK12" s="118">
        <v>1</v>
      </c>
      <c r="AL12" s="213">
        <v>1</v>
      </c>
      <c r="AM12" s="118">
        <v>0</v>
      </c>
      <c r="AN12" s="146" t="s">
        <v>1144</v>
      </c>
      <c r="AO12" s="146" t="s">
        <v>1144</v>
      </c>
      <c r="AP12" s="146" t="s">
        <v>1144</v>
      </c>
      <c r="AQ12" s="146" t="s">
        <v>1144</v>
      </c>
      <c r="AR12" s="146" t="s">
        <v>1144</v>
      </c>
      <c r="AS12" s="150" t="s">
        <v>1144</v>
      </c>
      <c r="AT12" s="130">
        <v>0</v>
      </c>
      <c r="AU12" s="130">
        <v>1</v>
      </c>
      <c r="AV12" s="130">
        <v>1</v>
      </c>
      <c r="AW12" s="130">
        <v>1</v>
      </c>
      <c r="AX12" s="131">
        <v>1</v>
      </c>
      <c r="AY12" s="151">
        <v>0</v>
      </c>
      <c r="AZ12" s="146"/>
      <c r="BA12" s="146"/>
      <c r="BB12" s="146"/>
      <c r="BC12" s="146"/>
      <c r="BD12" s="146">
        <v>0</v>
      </c>
      <c r="BE12" s="146"/>
      <c r="BF12" s="146"/>
      <c r="BG12" s="146"/>
      <c r="BH12" s="146"/>
      <c r="BI12" s="146"/>
      <c r="BJ12" s="146">
        <v>0</v>
      </c>
      <c r="BK12" s="146" t="s">
        <v>1144</v>
      </c>
      <c r="BL12" s="146" t="s">
        <v>1144</v>
      </c>
      <c r="BM12" s="146" t="s">
        <v>1144</v>
      </c>
      <c r="BN12" s="146" t="s">
        <v>1144</v>
      </c>
      <c r="BO12" s="146" t="s">
        <v>1144</v>
      </c>
      <c r="BP12" s="146" t="s">
        <v>1144</v>
      </c>
      <c r="BQ12" s="146" t="s">
        <v>1144</v>
      </c>
      <c r="BR12" s="146" t="s">
        <v>1144</v>
      </c>
      <c r="BS12" s="146" t="s">
        <v>1144</v>
      </c>
      <c r="BT12" s="146" t="s">
        <v>1144</v>
      </c>
      <c r="BU12" s="146" t="s">
        <v>1144</v>
      </c>
      <c r="BV12" s="146" t="s">
        <v>1144</v>
      </c>
      <c r="BW12" s="146" t="s">
        <v>1144</v>
      </c>
      <c r="BX12" s="146" t="s">
        <v>1144</v>
      </c>
      <c r="BY12" s="146">
        <v>1</v>
      </c>
      <c r="BZ12" s="146">
        <v>1</v>
      </c>
      <c r="CA12" s="146" t="s">
        <v>1144</v>
      </c>
      <c r="CB12" s="146" t="s">
        <v>1144</v>
      </c>
      <c r="CC12" s="146" t="s">
        <v>1144</v>
      </c>
      <c r="CD12" s="146">
        <v>1</v>
      </c>
      <c r="CE12" s="146" t="s">
        <v>213</v>
      </c>
      <c r="CF12" s="149" t="s">
        <v>1144</v>
      </c>
      <c r="CG12" s="146" t="s">
        <v>1144</v>
      </c>
      <c r="CH12" s="146" t="s">
        <v>1144</v>
      </c>
      <c r="CI12" s="146" t="s">
        <v>1144</v>
      </c>
      <c r="CJ12" s="146" t="s">
        <v>1144</v>
      </c>
      <c r="CK12" s="146" t="s">
        <v>1144</v>
      </c>
      <c r="CL12" s="146" t="s">
        <v>1144</v>
      </c>
      <c r="CM12" s="146" t="s">
        <v>1144</v>
      </c>
      <c r="CN12" s="146" t="s">
        <v>1144</v>
      </c>
      <c r="CO12" s="146" t="s">
        <v>1144</v>
      </c>
      <c r="CP12" s="146">
        <v>1</v>
      </c>
      <c r="CQ12" s="146" t="s">
        <v>1144</v>
      </c>
      <c r="CR12" s="146" t="s">
        <v>1144</v>
      </c>
      <c r="CS12" s="146" t="s">
        <v>1144</v>
      </c>
      <c r="CT12" s="146" t="s">
        <v>1144</v>
      </c>
      <c r="CU12" s="146" t="s">
        <v>1144</v>
      </c>
      <c r="CV12" s="146" t="s">
        <v>1144</v>
      </c>
      <c r="CW12" s="146" t="s">
        <v>1144</v>
      </c>
      <c r="CX12" s="146" t="s">
        <v>1144</v>
      </c>
      <c r="CY12" s="146" t="s">
        <v>1144</v>
      </c>
      <c r="CZ12" s="146" t="s">
        <v>1144</v>
      </c>
      <c r="DA12" s="146" t="s">
        <v>1144</v>
      </c>
      <c r="DB12" s="152" t="str">
        <f>IF(BW12="No Aplica","",$BW$5)&amp;IF(BX12="No Aplica","",$BX$5)&amp;IF(BY12="No Aplica","",$BY$5)&amp;IF(BZ12="No Aplica","",$BZ$5)&amp;IF(CA12="No Aplica","",$CA$5)&amp;IF(CB12="No Aplica","",CB12&amp;" ")&amp;IF(CC12="No Aplica","",CC12&amp;", ")&amp;IF(CD12="No Aplica","",$CD$5)&amp;IF(CE12="No Aplica","",$CE$5&amp;CE12&amp;", ")&amp;IF(CF12="No Aplica","",$CF$5)&amp;IF(CG12="No Aplica","",$CG$5)&amp;IF(CH12="No Aplica","",$CH$5)&amp;IF(CI12="No Aplica","",$CI$5)&amp;IF(CJ12="No Aplica","",$CJ$5)&amp;IF(CK12="No Aplica","",$CK$5)&amp;IF(CL12="No Aplica","",$CL$5)&amp;IF(CM12="No Aplica","",$CM$5)&amp;IF(CN12="No Aplica","",$CN$5)&amp;IF(CO12="No Aplica","",$CO$5)&amp;IF(CP12="No Aplica","",$CP$5)&amp;IF(CQ12="No Aplica","",$CQ$5)&amp;IF(CR12="No Aplica","",$CR$5)&amp;IF(CS12="No Aplica","",$CS$5)&amp;IF(CT12="No Aplica","",$CT$5)&amp;IF(CU12="No Aplica","",$CU$5)&amp;IF(CV12="No Aplica","",$CV$5)&amp;IF(CW12="No Aplica","",CW12&amp;", ")&amp;IF(CX12="No Aplica","",$CX$5&amp;CX12&amp;", ")&amp;IF(CY12="No Aplica","",$CY$5)&amp;IF(CZ12="No Aplica","",$CZ$5)&amp;IF(DA12="No Aplica","",$DA$5)</f>
        <v xml:space="preserve">Plan Estratégico Institucional, Plan de Acción, SGC, PROCESO: Direccionamiento estratégico, PLAN ESTRATÉGICO DE TALENTO HUMANO, </v>
      </c>
      <c r="DC12" s="149" t="str">
        <f t="shared" si="1"/>
        <v>Mide el avance de la presentación ante las entidades distritales del Libro del Anteproyecto de Presupuesto para la Vigencia 2020.</v>
      </c>
      <c r="DD12" s="149" t="str">
        <f t="shared" si="1"/>
        <v>Desarrollo de anteproyecto de presupuesto</v>
      </c>
      <c r="DE12" s="149" t="str">
        <f t="shared" si="1"/>
        <v>Programación para una eficiente ejecución de los recursos de la entidad</v>
      </c>
      <c r="DF12" s="149" t="str">
        <f t="shared" si="1"/>
        <v>Presentación del Libro de Anteproyecto de Presupuesto Vigencia 2020.</v>
      </c>
      <c r="DG12" s="149" t="str">
        <f t="shared" si="1"/>
        <v>Suma</v>
      </c>
      <c r="DH12" s="149">
        <f t="shared" si="2"/>
        <v>1</v>
      </c>
      <c r="DI12" s="149">
        <f t="shared" si="3"/>
        <v>0</v>
      </c>
      <c r="DJ12" s="149">
        <f t="shared" si="4"/>
        <v>0</v>
      </c>
      <c r="DK12" s="149">
        <f t="shared" si="5"/>
        <v>0</v>
      </c>
      <c r="DL12" s="149">
        <f t="shared" si="6"/>
        <v>0</v>
      </c>
      <c r="DM12" s="149">
        <f t="shared" si="7"/>
        <v>0</v>
      </c>
      <c r="DN12" s="149">
        <f t="shared" si="35"/>
        <v>0</v>
      </c>
      <c r="DO12" s="149">
        <f t="shared" si="8"/>
        <v>0</v>
      </c>
      <c r="DP12" s="149">
        <f t="shared" si="8"/>
        <v>0</v>
      </c>
      <c r="DQ12" s="149">
        <f t="shared" si="8"/>
        <v>0</v>
      </c>
      <c r="DR12" s="149">
        <f t="shared" si="8"/>
        <v>0</v>
      </c>
      <c r="DS12" s="149">
        <f t="shared" si="8"/>
        <v>0</v>
      </c>
      <c r="DT12" s="149">
        <f t="shared" si="8"/>
        <v>0</v>
      </c>
      <c r="DU12" s="149">
        <f t="shared" si="9"/>
        <v>1</v>
      </c>
      <c r="DV12" s="149" t="str">
        <f t="shared" si="9"/>
        <v/>
      </c>
      <c r="DW12" s="149" t="str">
        <f t="shared" si="9"/>
        <v/>
      </c>
      <c r="DX12" s="149" t="str">
        <f t="shared" si="9"/>
        <v/>
      </c>
      <c r="DY12" s="149" t="str">
        <f t="shared" si="9"/>
        <v/>
      </c>
      <c r="DZ12" s="149" t="str">
        <f t="shared" si="9"/>
        <v/>
      </c>
      <c r="EA12" s="149" t="str">
        <f t="shared" si="9"/>
        <v/>
      </c>
      <c r="EB12" s="149" t="str">
        <f t="shared" si="9"/>
        <v/>
      </c>
      <c r="EC12" s="149" t="str">
        <f t="shared" si="9"/>
        <v/>
      </c>
      <c r="ED12" s="149" t="str">
        <f t="shared" si="9"/>
        <v/>
      </c>
      <c r="EE12" s="149" t="str">
        <f t="shared" si="10"/>
        <v/>
      </c>
      <c r="EF12" s="149" t="str">
        <f t="shared" si="10"/>
        <v/>
      </c>
      <c r="EG12" s="149" t="str">
        <f t="shared" si="10"/>
        <v/>
      </c>
      <c r="EH12" s="149" t="str">
        <f t="shared" si="10"/>
        <v/>
      </c>
      <c r="EI12" s="149" t="str">
        <f t="shared" si="10"/>
        <v/>
      </c>
      <c r="EJ12" s="149" t="str">
        <f t="shared" si="10"/>
        <v/>
      </c>
      <c r="EK12" s="149" t="str">
        <f t="shared" si="10"/>
        <v/>
      </c>
      <c r="EL12" s="149" t="str">
        <f t="shared" si="10"/>
        <v/>
      </c>
      <c r="EM12" s="149" t="str">
        <f t="shared" si="10"/>
        <v/>
      </c>
      <c r="EN12" s="149" t="str">
        <f t="shared" si="10"/>
        <v/>
      </c>
      <c r="EO12" s="149" t="str">
        <f t="shared" si="11"/>
        <v/>
      </c>
      <c r="EP12" s="149" t="str">
        <f t="shared" si="11"/>
        <v/>
      </c>
      <c r="EQ12" s="149" t="str">
        <f t="shared" si="11"/>
        <v/>
      </c>
      <c r="ER12" s="149" t="str">
        <f t="shared" si="11"/>
        <v/>
      </c>
      <c r="ES12" s="149" t="str">
        <f t="shared" si="11"/>
        <v/>
      </c>
      <c r="ET12" s="149" t="str">
        <f t="shared" si="11"/>
        <v/>
      </c>
      <c r="EU12" s="149" t="str">
        <f t="shared" si="11"/>
        <v/>
      </c>
      <c r="EV12" s="149" t="str">
        <f t="shared" si="11"/>
        <v/>
      </c>
      <c r="EW12" s="149" t="str">
        <f t="shared" si="11"/>
        <v/>
      </c>
      <c r="EX12" s="149" t="str">
        <f t="shared" si="11"/>
        <v/>
      </c>
      <c r="EY12" s="149" t="str">
        <f t="shared" si="11"/>
        <v/>
      </c>
      <c r="EZ12" s="149">
        <f t="shared" si="11"/>
        <v>0</v>
      </c>
      <c r="FA12" s="149">
        <f t="shared" si="11"/>
        <v>0</v>
      </c>
      <c r="FB12" s="149" t="str">
        <f t="shared" si="11"/>
        <v/>
      </c>
      <c r="FC12" s="149" t="str">
        <f t="shared" si="11"/>
        <v/>
      </c>
      <c r="FD12" s="149" t="str">
        <f t="shared" si="12"/>
        <v/>
      </c>
      <c r="FE12" s="149" t="str">
        <f t="shared" si="12"/>
        <v/>
      </c>
      <c r="FF12" s="149" t="str">
        <f t="shared" si="12"/>
        <v/>
      </c>
      <c r="FG12" s="149" t="str">
        <f t="shared" si="12"/>
        <v/>
      </c>
      <c r="FH12" s="149" t="str">
        <f t="shared" si="12"/>
        <v/>
      </c>
      <c r="FI12" s="149" t="str">
        <f t="shared" si="12"/>
        <v/>
      </c>
      <c r="FJ12" s="149" t="str">
        <f t="shared" si="12"/>
        <v/>
      </c>
      <c r="FK12" s="149" t="str">
        <f t="shared" si="12"/>
        <v/>
      </c>
      <c r="FL12" s="149" t="str">
        <f t="shared" si="12"/>
        <v/>
      </c>
      <c r="FM12" s="149" t="str">
        <f t="shared" si="12"/>
        <v/>
      </c>
      <c r="FN12" s="149" t="str">
        <f t="shared" si="13"/>
        <v/>
      </c>
      <c r="FO12" s="149" t="str">
        <f t="shared" si="13"/>
        <v/>
      </c>
      <c r="FP12" s="149" t="str">
        <f t="shared" si="13"/>
        <v/>
      </c>
      <c r="FQ12" s="149" t="str">
        <f t="shared" si="13"/>
        <v/>
      </c>
      <c r="FR12" s="149" t="str">
        <f t="shared" si="13"/>
        <v/>
      </c>
      <c r="FS12" s="149" t="str">
        <f t="shared" si="13"/>
        <v/>
      </c>
      <c r="FT12" s="149" t="str">
        <f t="shared" si="13"/>
        <v/>
      </c>
      <c r="FU12" s="149" t="str">
        <f t="shared" si="13"/>
        <v/>
      </c>
      <c r="FV12" s="149" t="str">
        <f t="shared" si="13"/>
        <v/>
      </c>
      <c r="FW12" s="149" t="str">
        <f t="shared" si="13"/>
        <v/>
      </c>
      <c r="FX12" s="149" t="str">
        <f t="shared" si="14"/>
        <v/>
      </c>
      <c r="FY12" s="149" t="str">
        <f t="shared" si="14"/>
        <v/>
      </c>
      <c r="FZ12" s="149" t="str">
        <f t="shared" si="14"/>
        <v/>
      </c>
      <c r="GA12" s="149" t="str">
        <f t="shared" si="14"/>
        <v/>
      </c>
      <c r="GB12" s="149" t="str">
        <f t="shared" si="14"/>
        <v/>
      </c>
      <c r="GC12" s="149" t="str">
        <f t="shared" si="14"/>
        <v/>
      </c>
      <c r="GD12" s="149" t="str">
        <f t="shared" si="14"/>
        <v/>
      </c>
      <c r="GE12" s="149" t="str">
        <f t="shared" si="14"/>
        <v/>
      </c>
      <c r="GF12" s="149" t="str">
        <f t="shared" si="33"/>
        <v/>
      </c>
      <c r="GG12" s="149" t="str">
        <f t="shared" si="22"/>
        <v/>
      </c>
      <c r="GH12" s="149" t="str">
        <f t="shared" si="23"/>
        <v/>
      </c>
      <c r="GI12" s="149" t="str">
        <f t="shared" si="24"/>
        <v/>
      </c>
      <c r="GJ12" s="149" t="str">
        <f t="shared" si="25"/>
        <v/>
      </c>
      <c r="GK12" s="149">
        <f t="shared" si="34"/>
        <v>0</v>
      </c>
      <c r="GL12" s="149">
        <f t="shared" si="15"/>
        <v>0</v>
      </c>
      <c r="GM12" s="149">
        <f t="shared" si="16"/>
        <v>0</v>
      </c>
      <c r="GN12" s="149">
        <f t="shared" si="17"/>
        <v>0</v>
      </c>
      <c r="GO12" s="149">
        <f t="shared" si="18"/>
        <v>0</v>
      </c>
      <c r="GP12" s="149">
        <f t="shared" si="19"/>
        <v>0</v>
      </c>
      <c r="GQ12" s="149">
        <f t="shared" si="19"/>
        <v>0</v>
      </c>
      <c r="GR12" s="153">
        <f t="shared" si="26"/>
        <v>0</v>
      </c>
      <c r="GS12" s="149" t="str">
        <f t="shared" si="27"/>
        <v>No Programó</v>
      </c>
      <c r="GT12" s="149" t="str">
        <f>+IF(OR($A12=52,$A12=124),1,IFERROR(IF($X12="Creciente",IF($AB12="Número",SUM($GL12:GM12)/SUM($DO12:DP12)*($AX12-$AW12),SUM($GL12:GM12)/SUM($DO12:DP12))*($AX12-$AW12),IF($DG12="Creciente",GM12*GM12/GM12,IF(AND($DG12="Constante",$AB12="Porcentaje"),AVERAGEIF($GL12:GM12,"&lt;&gt;0")/AVERAGEIF($DO12:DP12,"&lt;&gt;0")*100,SUM($GL12:GM12)/SUM($DO12:DP12)*$DU12))),GS12))</f>
        <v>No Programó</v>
      </c>
      <c r="GU12" s="149" t="str">
        <f>+IF(OR($A12=52,$A12=124),1,IFERROR(IF($X12="Creciente",IF($AB12="Número",SUM($GL12:GN12)/SUM($DO12:DQ12)*($AX12-$AW12),SUM($GL12:GN12)/SUM($DO12:DQ12))*($AX12-$AW12),IF($DG12="Creciente",GN12*GN12/GN12,IF(AND($DG12="Constante",$AB12="Porcentaje"),AVERAGEIF($GL12:GN12,"&lt;&gt;0")/AVERAGEIF($DO12:DQ12,"&lt;&gt;0")*100,SUM($GL12:GN12)/SUM($DO12:DQ12)*$DU12))),GT12))</f>
        <v>No Programó</v>
      </c>
      <c r="GV12" s="149" t="str">
        <f>+IF(OR($A12=52,$A12=124),1,IFERROR(IF($X12="Creciente",IF($AB12="Número",SUM($GL12:GO12)/SUM($DO12:DR12)*($AX12-$AW12),SUM($GL12:GO12)/SUM($DO12:DR12))*($AX12-$AW12),IF($DG12="Creciente",GO12*GO12/GO12,IF(AND($DG12="Constante",$AB12="Porcentaje"),AVERAGEIF($GL12:GO12,"&lt;&gt;0")/AVERAGEIF($DO12:DR12,"&lt;&gt;0")*100,SUM($GL12:GO12)/SUM($DO12:DR12)*$DU12))),GU12))</f>
        <v>No Programó</v>
      </c>
      <c r="GW12" s="149" t="str">
        <f>+IF(OR($A12=52,$A12=124),1,IFERROR(IF($X12="Creciente",IF($AB12="Número",SUM($GL12:GP12)/SUM($DO12:DS12)*($AX12-$AW12),SUM($GL12:GP12)/SUM($DO12:DS12))*($AX12-$AW12),IF($DG12="Creciente",GP12*GP12/GP12,IF(AND($DG12="Constante",$AB12="Porcentaje"),AVERAGEIF($GL12:GP12,"&lt;&gt;0")/AVERAGEIF($DO12:DS12,"&lt;&gt;0")*100,SUM($GL12:GP12)/SUM($DO12:DS12)*$DU12))),GV12))</f>
        <v>No Programó</v>
      </c>
      <c r="GX12" s="149" t="str">
        <f>+IF(OR($A12=52,$A12=124),1,IFERROR(IF($X12="Creciente",IF($AB12="Número",SUM($GL12:GQ12)/SUM($DO12:DT12)*($AX12-$AW12),SUM($GL12:GQ12)/SUM($DO12:DT12))*($AX12-$AW12),IF($DG12="Creciente",GQ12*GQ12/GQ12,IF(AND($DG12="Constante",$AB12="Porcentaje"),AVERAGEIF($GL12:GQ12,"&lt;&gt;0")/AVERAGEIF($DO12:DT12,"&lt;&gt;0")*100,SUM($GL12:GQ12)/SUM($DO12:DT12)*$DU12))),GW12))</f>
        <v>No Programó</v>
      </c>
      <c r="GY12" s="149" t="str">
        <f t="shared" si="28"/>
        <v>Mide el avance de la presentación ante las entidades distritales del Libro del Anteproyecto de Presupuesto para la Vigencia 2020.</v>
      </c>
      <c r="GZ12" s="149" t="str">
        <f t="shared" si="29"/>
        <v>Desarrollo de anteproyecto de presupuesto</v>
      </c>
      <c r="HA12" s="149" t="str">
        <f t="shared" si="30"/>
        <v>Programación para una eficiente ejecución de los recursos de la entidad</v>
      </c>
      <c r="HB12" s="149" t="str">
        <f t="shared" si="31"/>
        <v>Presentación del Libro de Anteproyecto de Presupuesto Vigencia 2020.</v>
      </c>
      <c r="HC12" s="149" t="e">
        <f t="shared" si="20"/>
        <v>#N/A</v>
      </c>
      <c r="HD12" s="149" t="e">
        <f t="shared" si="20"/>
        <v>#N/A</v>
      </c>
      <c r="HE12" s="149" t="e">
        <f t="shared" si="20"/>
        <v>#N/A</v>
      </c>
      <c r="HF12" s="149" t="e">
        <f t="shared" si="20"/>
        <v>#N/A</v>
      </c>
      <c r="HG12" s="149" t="e">
        <f t="shared" si="20"/>
        <v>#N/A</v>
      </c>
      <c r="HH12" s="149" t="e">
        <f t="shared" si="20"/>
        <v>#N/A</v>
      </c>
      <c r="HI12" s="149" t="e">
        <f t="shared" si="20"/>
        <v>#N/A</v>
      </c>
      <c r="HJ12" s="149" t="e">
        <f t="shared" si="20"/>
        <v>#N/A</v>
      </c>
      <c r="HK12" s="149" t="e">
        <f t="shared" si="20"/>
        <v>#N/A</v>
      </c>
      <c r="HL12" s="149" t="e">
        <f t="shared" si="20"/>
        <v>#N/A</v>
      </c>
      <c r="HM12" s="149" t="e">
        <f t="shared" si="21"/>
        <v>#N/A</v>
      </c>
      <c r="HN12" s="149" t="e">
        <f t="shared" si="21"/>
        <v>#N/A</v>
      </c>
      <c r="HO12" s="149" t="e">
        <f t="shared" si="21"/>
        <v>#N/A</v>
      </c>
      <c r="HP12" s="149" t="e">
        <f t="shared" si="21"/>
        <v>#N/A</v>
      </c>
      <c r="HQ12" s="149" t="e">
        <f t="shared" si="21"/>
        <v>#N/A</v>
      </c>
      <c r="HR12" s="149" t="e">
        <f t="shared" si="21"/>
        <v>#N/A</v>
      </c>
      <c r="HS12" s="149" t="e">
        <f t="shared" si="21"/>
        <v>#N/A</v>
      </c>
      <c r="HT12" s="149" t="e">
        <f t="shared" si="21"/>
        <v>#N/A</v>
      </c>
      <c r="HU12" s="149" t="e">
        <f t="shared" si="21"/>
        <v>#N/A</v>
      </c>
      <c r="HV12" s="149" t="e">
        <f t="shared" si="21"/>
        <v>#N/A</v>
      </c>
      <c r="HW12" s="149" t="e">
        <f t="shared" si="21"/>
        <v>#N/A</v>
      </c>
      <c r="HX12" s="149" t="e">
        <f t="shared" si="21"/>
        <v>#N/A</v>
      </c>
    </row>
    <row r="13" spans="1:241" s="149" customFormat="1" x14ac:dyDescent="0.3">
      <c r="A13" s="145" t="s">
        <v>340</v>
      </c>
      <c r="B13" s="146" t="s">
        <v>1144</v>
      </c>
      <c r="C13" s="146" t="s">
        <v>1144</v>
      </c>
      <c r="D13" s="146" t="s">
        <v>1144</v>
      </c>
      <c r="E13" s="146" t="s">
        <v>1144</v>
      </c>
      <c r="F13" s="136" t="s">
        <v>1211</v>
      </c>
      <c r="G13" s="146" t="s">
        <v>1144</v>
      </c>
      <c r="H13" s="146" t="s">
        <v>1144</v>
      </c>
      <c r="I13" s="135" t="s">
        <v>1146</v>
      </c>
      <c r="J13" s="135" t="s">
        <v>105</v>
      </c>
      <c r="K13" s="135" t="s">
        <v>106</v>
      </c>
      <c r="L13" s="135" t="s">
        <v>107</v>
      </c>
      <c r="M13" s="135" t="s">
        <v>1147</v>
      </c>
      <c r="N13" s="135" t="s">
        <v>1148</v>
      </c>
      <c r="O13" s="147" t="s">
        <v>1149</v>
      </c>
      <c r="P13" s="148" t="s">
        <v>1211</v>
      </c>
      <c r="Q13" s="135" t="s">
        <v>1212</v>
      </c>
      <c r="R13" s="135" t="s">
        <v>1213</v>
      </c>
      <c r="S13" s="135" t="s">
        <v>1214</v>
      </c>
      <c r="T13" s="135" t="s">
        <v>1215</v>
      </c>
      <c r="U13" s="135" t="s">
        <v>1216</v>
      </c>
      <c r="V13" s="135" t="s">
        <v>1217</v>
      </c>
      <c r="W13" s="148" t="s">
        <v>601</v>
      </c>
      <c r="X13" s="135" t="s">
        <v>601</v>
      </c>
      <c r="Y13" s="135" t="s">
        <v>1218</v>
      </c>
      <c r="Z13" s="135" t="s">
        <v>1219</v>
      </c>
      <c r="AA13" s="135" t="s">
        <v>1220</v>
      </c>
      <c r="AB13" s="135" t="s">
        <v>602</v>
      </c>
      <c r="AC13" s="135" t="s">
        <v>1159</v>
      </c>
      <c r="AD13" s="135" t="s">
        <v>1160</v>
      </c>
      <c r="AE13" s="135">
        <v>2017</v>
      </c>
      <c r="AF13" s="119">
        <v>0</v>
      </c>
      <c r="AG13" s="149">
        <v>2017</v>
      </c>
      <c r="AH13" s="118">
        <v>0</v>
      </c>
      <c r="AI13" s="118">
        <v>1</v>
      </c>
      <c r="AJ13" s="118">
        <v>1</v>
      </c>
      <c r="AK13" s="118">
        <v>1</v>
      </c>
      <c r="AL13" s="118">
        <v>1</v>
      </c>
      <c r="AM13" s="118">
        <v>0</v>
      </c>
      <c r="AN13" s="146" t="s">
        <v>1144</v>
      </c>
      <c r="AO13" s="146" t="s">
        <v>1144</v>
      </c>
      <c r="AP13" s="146" t="s">
        <v>1144</v>
      </c>
      <c r="AQ13" s="146" t="s">
        <v>1144</v>
      </c>
      <c r="AR13" s="146" t="s">
        <v>1144</v>
      </c>
      <c r="AS13" s="150" t="s">
        <v>1144</v>
      </c>
      <c r="AT13" s="229">
        <v>0</v>
      </c>
      <c r="AU13" s="229">
        <v>100</v>
      </c>
      <c r="AV13" s="229">
        <v>100</v>
      </c>
      <c r="AW13" s="229">
        <v>100</v>
      </c>
      <c r="AX13" s="131">
        <v>100</v>
      </c>
      <c r="AY13" s="230">
        <v>0</v>
      </c>
      <c r="AZ13" s="146"/>
      <c r="BA13" s="146"/>
      <c r="BB13" s="146"/>
      <c r="BC13" s="146"/>
      <c r="BD13" s="146">
        <v>0</v>
      </c>
      <c r="BE13" s="146"/>
      <c r="BF13" s="146"/>
      <c r="BG13" s="146"/>
      <c r="BH13" s="146"/>
      <c r="BI13" s="146"/>
      <c r="BJ13" s="146">
        <v>0</v>
      </c>
      <c r="BK13" s="146" t="s">
        <v>1144</v>
      </c>
      <c r="BL13" s="146" t="s">
        <v>1144</v>
      </c>
      <c r="BM13" s="146" t="s">
        <v>1144</v>
      </c>
      <c r="BN13" s="146" t="s">
        <v>1144</v>
      </c>
      <c r="BO13" s="146" t="s">
        <v>1144</v>
      </c>
      <c r="BP13" s="146" t="s">
        <v>1144</v>
      </c>
      <c r="BQ13" s="146" t="s">
        <v>1144</v>
      </c>
      <c r="BR13" s="146" t="s">
        <v>1144</v>
      </c>
      <c r="BS13" s="146" t="s">
        <v>1144</v>
      </c>
      <c r="BT13" s="146" t="s">
        <v>1144</v>
      </c>
      <c r="BU13" s="146" t="s">
        <v>1144</v>
      </c>
      <c r="BV13" s="146" t="s">
        <v>1144</v>
      </c>
      <c r="BW13" s="146" t="s">
        <v>1144</v>
      </c>
      <c r="BX13" s="146" t="s">
        <v>1144</v>
      </c>
      <c r="BY13" s="146">
        <v>1</v>
      </c>
      <c r="BZ13" s="146">
        <v>1</v>
      </c>
      <c r="CA13" s="146" t="s">
        <v>1144</v>
      </c>
      <c r="CB13" s="146" t="s">
        <v>1144</v>
      </c>
      <c r="CC13" s="146" t="s">
        <v>1144</v>
      </c>
      <c r="CD13" s="146">
        <v>1</v>
      </c>
      <c r="CE13" s="146" t="s">
        <v>213</v>
      </c>
      <c r="CF13" s="149" t="s">
        <v>1144</v>
      </c>
      <c r="CG13" s="146" t="s">
        <v>1144</v>
      </c>
      <c r="CH13" s="146" t="s">
        <v>1144</v>
      </c>
      <c r="CI13" s="146" t="s">
        <v>1144</v>
      </c>
      <c r="CJ13" s="146" t="s">
        <v>1144</v>
      </c>
      <c r="CK13" s="146" t="s">
        <v>1144</v>
      </c>
      <c r="CL13" s="146" t="s">
        <v>1144</v>
      </c>
      <c r="CM13" s="146" t="s">
        <v>1144</v>
      </c>
      <c r="CN13" s="146" t="s">
        <v>1144</v>
      </c>
      <c r="CO13" s="146" t="s">
        <v>1144</v>
      </c>
      <c r="CP13" s="146" t="s">
        <v>1144</v>
      </c>
      <c r="CQ13" s="146" t="s">
        <v>1144</v>
      </c>
      <c r="CR13" s="146" t="s">
        <v>1144</v>
      </c>
      <c r="CS13" s="146" t="s">
        <v>1144</v>
      </c>
      <c r="CT13" s="146" t="s">
        <v>1144</v>
      </c>
      <c r="CU13" s="146" t="s">
        <v>1144</v>
      </c>
      <c r="CV13" s="146" t="s">
        <v>1144</v>
      </c>
      <c r="CW13" s="146" t="s">
        <v>1144</v>
      </c>
      <c r="CX13" s="146" t="s">
        <v>1144</v>
      </c>
      <c r="CY13" s="146" t="s">
        <v>1144</v>
      </c>
      <c r="CZ13" s="146" t="s">
        <v>1144</v>
      </c>
      <c r="DA13" s="146" t="s">
        <v>1144</v>
      </c>
      <c r="DB13" s="152" t="str">
        <f t="shared" si="32"/>
        <v xml:space="preserve">Plan Estratégico Institucional, Plan de Acción, SGC, PROCESO: Direccionamiento estratégico, </v>
      </c>
      <c r="DC13" s="149" t="str">
        <f t="shared" si="1"/>
        <v>Mide el monitoreo realizado por la OAP al cumplimiento de la aplicación del Plan Anticorrupción en la Entidad.</v>
      </c>
      <c r="DD13" s="149" t="str">
        <f t="shared" si="1"/>
        <v>Realizar el monitoreo a la ejecución del Plan Anticorrupción de de Atención al Ciudadano PAAC</v>
      </c>
      <c r="DE13" s="149" t="str">
        <f t="shared" si="1"/>
        <v>Cumplimiento del 100% de las actividades programadas en el marco de la lucha contra la corrupción en la Secretaria General de la Alcaldía mayor de Bogotá.</v>
      </c>
      <c r="DF13" s="149" t="str">
        <f t="shared" si="1"/>
        <v>Matriz de monitoreo a la ejecucución del Plan Anticorrupción de de Atención al Ciudadano PAAC</v>
      </c>
      <c r="DG13" s="149" t="str">
        <f t="shared" si="1"/>
        <v>Suma</v>
      </c>
      <c r="DH13" s="149">
        <f t="shared" si="2"/>
        <v>1</v>
      </c>
      <c r="DI13" s="149">
        <f t="shared" si="3"/>
        <v>0</v>
      </c>
      <c r="DJ13" s="149">
        <f t="shared" si="4"/>
        <v>0</v>
      </c>
      <c r="DK13" s="149">
        <f t="shared" si="5"/>
        <v>0</v>
      </c>
      <c r="DL13" s="149">
        <f t="shared" si="6"/>
        <v>0</v>
      </c>
      <c r="DM13" s="149">
        <f t="shared" si="7"/>
        <v>1</v>
      </c>
      <c r="DN13" s="149">
        <f t="shared" ref="DN13:DN47" si="36">+VLOOKUP($A13,consolidado,MATCH(DT$5,consolidadofila,0),0)</f>
        <v>0</v>
      </c>
      <c r="DO13" s="149">
        <f t="shared" si="8"/>
        <v>0</v>
      </c>
      <c r="DP13" s="149">
        <f t="shared" si="8"/>
        <v>0</v>
      </c>
      <c r="DQ13" s="149">
        <f t="shared" si="8"/>
        <v>0</v>
      </c>
      <c r="DR13" s="149">
        <f t="shared" si="8"/>
        <v>0</v>
      </c>
      <c r="DS13" s="149">
        <f t="shared" si="8"/>
        <v>100</v>
      </c>
      <c r="DT13" s="149">
        <f t="shared" si="8"/>
        <v>0</v>
      </c>
      <c r="DU13" s="149">
        <f t="shared" si="9"/>
        <v>100</v>
      </c>
      <c r="DV13" s="149">
        <f t="shared" si="9"/>
        <v>0</v>
      </c>
      <c r="DW13" s="149">
        <f t="shared" si="9"/>
        <v>0</v>
      </c>
      <c r="DX13" s="149" t="str">
        <f t="shared" si="9"/>
        <v>no aplica</v>
      </c>
      <c r="DY13" s="149" t="str">
        <f t="shared" si="9"/>
        <v>no aplica</v>
      </c>
      <c r="DZ13" s="149" t="str">
        <f t="shared" si="9"/>
        <v>no aplica</v>
      </c>
      <c r="EA13" s="149">
        <f t="shared" si="9"/>
        <v>0</v>
      </c>
      <c r="EB13" s="149">
        <f t="shared" si="9"/>
        <v>0</v>
      </c>
      <c r="EC13" s="149" t="str">
        <f t="shared" si="9"/>
        <v>no aplica</v>
      </c>
      <c r="ED13" s="149" t="str">
        <f t="shared" si="9"/>
        <v>no aplica</v>
      </c>
      <c r="EE13" s="149" t="str">
        <f t="shared" si="10"/>
        <v>no aplica</v>
      </c>
      <c r="EF13" s="149">
        <f t="shared" si="10"/>
        <v>0</v>
      </c>
      <c r="EG13" s="149">
        <f t="shared" si="10"/>
        <v>0</v>
      </c>
      <c r="EH13" s="149" t="str">
        <f t="shared" si="10"/>
        <v>no aplica</v>
      </c>
      <c r="EI13" s="149" t="str">
        <f t="shared" si="10"/>
        <v>no aplica</v>
      </c>
      <c r="EJ13" s="149" t="str">
        <f t="shared" si="10"/>
        <v>no aplica</v>
      </c>
      <c r="EK13" s="149">
        <f t="shared" si="10"/>
        <v>0</v>
      </c>
      <c r="EL13" s="149">
        <f t="shared" si="10"/>
        <v>0</v>
      </c>
      <c r="EM13" s="149" t="str">
        <f t="shared" si="10"/>
        <v>no aplica</v>
      </c>
      <c r="EN13" s="149" t="str">
        <f t="shared" si="10"/>
        <v>no aplica</v>
      </c>
      <c r="EO13" s="149" t="str">
        <f t="shared" si="11"/>
        <v>no aplica</v>
      </c>
      <c r="EP13" s="149">
        <f t="shared" si="11"/>
        <v>1</v>
      </c>
      <c r="EQ13" s="149">
        <f t="shared" si="11"/>
        <v>1</v>
      </c>
      <c r="ER13" s="149" t="str">
        <f t="shared" si="11"/>
        <v xml:space="preserve">Mediante memorando 3-2020-9716 se solicitó a todas las dependencias con actividades en el Plan Anticorrupción y de Atención al Ciudadano la solicitud de reportar la ejecución de las actividades, para ello se  elaboró una herramienta para que las dependencias registraran las acciones trabajadas en los meses de enero, febrero, marzo y abril. Asimismo, solicito el envio de las evidencias que soportan el cumplimiento de las actividades programadas a traves de un memorando. Para el reporte de las actividades  del PAAC del mes de mayo se solicitó a través del memorando 3-2020- 11650. Una vez recolectada toda la información se monitoreo el avance en la ejecución de las actividades por componente y actividad registrando el cumplimiento en la herramienta diseñada para tal fin. El monitoreo de los primeros cuatro meses fue  un insumo para que la Oficina de Control realizara el seguimiento al PAAC. </v>
      </c>
      <c r="ES13" s="149" t="str">
        <f t="shared" si="11"/>
        <v xml:space="preserve">Se identificó que para la primera versión del Plan Anticorrupción y de antención al ciudadano se debian realizar ajustes de redacción y estructura de medición de algunas de las actividades, por lo que se reunió con las dependencias para revisar las actividades, la programación y las metas. Como resultado se publico en abril la segunda versión.
Se creo una nueva herramiento de monitoreo a las actividades del PAAC. 
Se tuvo dificultades para implemenar la transición de medir el PAAC por indicadores indivuduales a contar con un indicador por componente.   
La pandemia COVID -19 , llevo a que algunas dependencias tuvieran que cambiar algunas de las metas propuestas por que se veian directamente afectadas para dar cumplimiento frente a las medidas que se tomaban en la ciudad. </v>
      </c>
      <c r="ET13" s="149" t="str">
        <f t="shared" si="11"/>
        <v xml:space="preserve"> EL monitoreo al PAAC permite visualizar el nivel de avance de cada uno  de los componentes, evidenciando el desarrollo de las actividades  programadas por cada una de las dependencias de la entidad. 
A su vez, contar con una herramienta nueva de reporte y monitoreo que muestre  el avance del PAAC por componente y su  progreso mensual,  permite  contar con la información necesaria para 
revisar cada una de las actividades y tomar medidas a tiempo para cumplir con lo programado. </v>
      </c>
      <c r="EU13" s="149" t="str">
        <f t="shared" si="11"/>
        <v/>
      </c>
      <c r="EV13" s="149" t="str">
        <f t="shared" si="11"/>
        <v/>
      </c>
      <c r="EW13" s="149" t="str">
        <f t="shared" si="11"/>
        <v/>
      </c>
      <c r="EX13" s="149" t="str">
        <f t="shared" si="11"/>
        <v/>
      </c>
      <c r="EY13" s="149" t="str">
        <f t="shared" si="11"/>
        <v/>
      </c>
      <c r="EZ13" s="149">
        <f t="shared" si="11"/>
        <v>1</v>
      </c>
      <c r="FA13" s="149">
        <f t="shared" si="11"/>
        <v>1</v>
      </c>
      <c r="FB13" s="149" t="str">
        <f t="shared" si="11"/>
        <v/>
      </c>
      <c r="FC13" s="149" t="str">
        <f t="shared" si="11"/>
        <v/>
      </c>
      <c r="FD13" s="149" t="str">
        <f t="shared" si="12"/>
        <v/>
      </c>
      <c r="FE13" s="149" t="str">
        <f t="shared" si="12"/>
        <v/>
      </c>
      <c r="FF13" s="149" t="str">
        <f t="shared" si="12"/>
        <v/>
      </c>
      <c r="FG13" s="149" t="str">
        <f t="shared" si="12"/>
        <v/>
      </c>
      <c r="FH13" s="149" t="str">
        <f t="shared" si="12"/>
        <v/>
      </c>
      <c r="FI13" s="149" t="str">
        <f t="shared" si="12"/>
        <v/>
      </c>
      <c r="FJ13" s="149" t="str">
        <f t="shared" si="12"/>
        <v/>
      </c>
      <c r="FK13" s="149" t="str">
        <f t="shared" si="12"/>
        <v/>
      </c>
      <c r="FL13" s="149" t="str">
        <f t="shared" si="12"/>
        <v/>
      </c>
      <c r="FM13" s="149" t="str">
        <f t="shared" si="12"/>
        <v/>
      </c>
      <c r="FN13" s="149" t="str">
        <f t="shared" si="13"/>
        <v/>
      </c>
      <c r="FO13" s="149" t="str">
        <f t="shared" si="13"/>
        <v/>
      </c>
      <c r="FP13" s="149" t="str">
        <f t="shared" si="13"/>
        <v/>
      </c>
      <c r="FQ13" s="149" t="str">
        <f t="shared" si="13"/>
        <v/>
      </c>
      <c r="FR13" s="149" t="str">
        <f t="shared" si="13"/>
        <v/>
      </c>
      <c r="FS13" s="149" t="str">
        <f t="shared" si="13"/>
        <v/>
      </c>
      <c r="FT13" s="149" t="str">
        <f t="shared" si="13"/>
        <v/>
      </c>
      <c r="FU13" s="149" t="str">
        <f t="shared" si="13"/>
        <v/>
      </c>
      <c r="FV13" s="149" t="str">
        <f t="shared" si="13"/>
        <v/>
      </c>
      <c r="FW13" s="149" t="str">
        <f t="shared" si="13"/>
        <v/>
      </c>
      <c r="FX13" s="149" t="str">
        <f t="shared" si="14"/>
        <v/>
      </c>
      <c r="FY13" s="149" t="str">
        <f t="shared" si="14"/>
        <v/>
      </c>
      <c r="FZ13" s="149" t="str">
        <f t="shared" si="14"/>
        <v/>
      </c>
      <c r="GA13" s="149" t="str">
        <f t="shared" si="14"/>
        <v/>
      </c>
      <c r="GB13" s="149" t="str">
        <f t="shared" si="14"/>
        <v/>
      </c>
      <c r="GC13" s="149" t="str">
        <f t="shared" si="14"/>
        <v/>
      </c>
      <c r="GD13" s="149" t="str">
        <f t="shared" si="14"/>
        <v/>
      </c>
      <c r="GE13" s="149" t="str">
        <f t="shared" si="14"/>
        <v/>
      </c>
      <c r="GF13" s="149">
        <f t="shared" si="33"/>
        <v>0</v>
      </c>
      <c r="GG13" s="149">
        <f t="shared" si="22"/>
        <v>0</v>
      </c>
      <c r="GH13" s="149">
        <f t="shared" si="23"/>
        <v>0</v>
      </c>
      <c r="GI13" s="149">
        <f t="shared" si="24"/>
        <v>0</v>
      </c>
      <c r="GJ13" s="149">
        <f t="shared" si="25"/>
        <v>1</v>
      </c>
      <c r="GK13" s="149">
        <f t="shared" si="34"/>
        <v>1</v>
      </c>
      <c r="GL13" s="149">
        <f t="shared" si="15"/>
        <v>0</v>
      </c>
      <c r="GM13" s="149">
        <f t="shared" si="16"/>
        <v>0</v>
      </c>
      <c r="GN13" s="149">
        <f t="shared" si="17"/>
        <v>0</v>
      </c>
      <c r="GO13" s="149">
        <f t="shared" si="18"/>
        <v>0</v>
      </c>
      <c r="GP13" s="149">
        <f t="shared" si="19"/>
        <v>100</v>
      </c>
      <c r="GQ13" s="149">
        <f t="shared" si="19"/>
        <v>0</v>
      </c>
      <c r="GR13" s="153">
        <f t="shared" si="26"/>
        <v>100</v>
      </c>
      <c r="GS13" s="149" t="str">
        <f t="shared" si="27"/>
        <v>No Programó</v>
      </c>
      <c r="GT13" s="149" t="str">
        <f>+IF(OR($A13=52,$A13=124),1,IFERROR(IF($X13="Creciente",IF($AB13="Número",SUM($GL13:GM13)/SUM($DO13:DP13)*($AX13-$AW13),SUM($GL13:GM13)/SUM($DO13:DP13))*($AX13-$AW13),IF($DG13="Creciente",GM13*GM13/GM13,IF(AND($DG13="Constante",$AB13="Porcentaje"),AVERAGEIF($GL13:GM13,"&lt;&gt;0")/AVERAGEIF($DO13:DP13,"&lt;&gt;0")*100,SUM($GL13:GM13)/SUM($DO13:DP13)*$DU13))),GS13))</f>
        <v>No Programó</v>
      </c>
      <c r="GU13" s="149" t="str">
        <f>+IF(OR($A13=52,$A13=124),1,IFERROR(IF($X13="Creciente",IF($AB13="Número",SUM($GL13:GN13)/SUM($DO13:DQ13)*($AX13-$AW13),SUM($GL13:GN13)/SUM($DO13:DQ13))*($AX13-$AW13),IF($DG13="Creciente",GN13*GN13/GN13,IF(AND($DG13="Constante",$AB13="Porcentaje"),AVERAGEIF($GL13:GN13,"&lt;&gt;0")/AVERAGEIF($DO13:DQ13,"&lt;&gt;0")*100,SUM($GL13:GN13)/SUM($DO13:DQ13)*$DU13))),GT13))</f>
        <v>No Programó</v>
      </c>
      <c r="GV13" s="149" t="str">
        <f>+IF(OR($A13=52,$A13=124),1,IFERROR(IF($X13="Creciente",IF($AB13="Número",SUM($GL13:GO13)/SUM($DO13:DR13)*($AX13-$AW13),SUM($GL13:GO13)/SUM($DO13:DR13))*($AX13-$AW13),IF($DG13="Creciente",GO13*GO13/GO13,IF(AND($DG13="Constante",$AB13="Porcentaje"),AVERAGEIF($GL13:GO13,"&lt;&gt;0")/AVERAGEIF($DO13:DR13,"&lt;&gt;0")*100,SUM($GL13:GO13)/SUM($DO13:DR13)*$DU13))),GU13))</f>
        <v>No Programó</v>
      </c>
      <c r="GW13" s="149">
        <f>+IF(OR($A13=52,$A13=124),1,IFERROR(IF($X13="Creciente",IF($AB13="Número",SUM($GL13:GP13)/SUM($DO13:DS13)*($AX13-$AW13),SUM($GL13:GP13)/SUM($DO13:DS13))*($AX13-$AW13),IF($DG13="Creciente",GP13*GP13/GP13,IF(AND($DG13="Constante",$AB13="Porcentaje"),AVERAGEIF($GL13:GP13,"&lt;&gt;0")/AVERAGEIF($DO13:DS13,"&lt;&gt;0")*100,SUM($GL13:GP13)/SUM($DO13:DS13)*$DU13))),GV13))</f>
        <v>100</v>
      </c>
      <c r="GX13" s="149">
        <f>+IF(OR($A13=52,$A13=124),1,IFERROR(IF($X13="Creciente",IF($AB13="Número",SUM($GL13:GQ13)/SUM($DO13:DT13)*($AX13-$AW13),SUM($GL13:GQ13)/SUM($DO13:DT13))*($AX13-$AW13),IF($DG13="Creciente",GQ13*GQ13/GQ13,IF(AND($DG13="Constante",$AB13="Porcentaje"),AVERAGEIF($GL13:GQ13,"&lt;&gt;0")/AVERAGEIF($DO13:DT13,"&lt;&gt;0")*100,SUM($GL13:GQ13)/SUM($DO13:DT13)*$DU13))),GW13))</f>
        <v>100</v>
      </c>
      <c r="GY13" s="149" t="str">
        <f t="shared" si="28"/>
        <v>Mide el monitoreo realizado por la OAP al cumplimiento de la aplicación del Plan Anticorrupción en la Entidad.</v>
      </c>
      <c r="GZ13" s="149" t="str">
        <f t="shared" si="29"/>
        <v>Realizar el monitoreo a la ejecución del Plan Anticorrupción de de Atención al Ciudadano PAAC</v>
      </c>
      <c r="HA13" s="149" t="str">
        <f t="shared" si="30"/>
        <v>Cumplimiento del 100% de las actividades programadas en el marco de la lucha contra la corrupción en la Secretaria General de la Alcaldía mayor de Bogotá.</v>
      </c>
      <c r="HB13" s="149" t="str">
        <f t="shared" si="31"/>
        <v>Matriz de monitoreo a la ejecucución del Plan Anticorrupción de de Atención al Ciudadano PAAC</v>
      </c>
      <c r="HC13" s="149" t="str">
        <f t="shared" si="20"/>
        <v>No aplica</v>
      </c>
      <c r="HD13" s="149" t="str">
        <f t="shared" si="20"/>
        <v>Cumplido</v>
      </c>
      <c r="HE13" s="149" t="str">
        <f t="shared" si="20"/>
        <v>Adecuado</v>
      </c>
      <c r="HF13" s="149" t="str">
        <f t="shared" si="20"/>
        <v>Coherente</v>
      </c>
      <c r="HG13" s="149" t="str">
        <f t="shared" si="20"/>
        <v>Concuerda</v>
      </c>
      <c r="HH13" s="149" t="str">
        <f t="shared" si="20"/>
        <v>Concuerda</v>
      </c>
      <c r="HI13" s="149" t="str">
        <f t="shared" si="20"/>
        <v>No aplica</v>
      </c>
      <c r="HJ13" s="149" t="str">
        <f t="shared" si="20"/>
        <v>Adecuado</v>
      </c>
      <c r="HK13" s="149" t="str">
        <f t="shared" si="20"/>
        <v>Oportuna</v>
      </c>
      <c r="HL13" s="149" t="str">
        <f t="shared" si="20"/>
        <v>Se podrían aportar a la evidencia del indicador los memorandos remisorios del seguimiento al PAAC que emiten las dependencias y en los cuales se relacionan los elementos que conforman la matriz de seguimiento.</v>
      </c>
      <c r="HM13" s="149" t="str">
        <f t="shared" si="21"/>
        <v>Fernando Escobar Mendoza</v>
      </c>
      <c r="HN13" s="149">
        <f t="shared" si="21"/>
        <v>0</v>
      </c>
      <c r="HO13" s="149">
        <f t="shared" si="21"/>
        <v>0</v>
      </c>
      <c r="HP13" s="149">
        <f t="shared" si="21"/>
        <v>0</v>
      </c>
      <c r="HQ13" s="149">
        <f t="shared" si="21"/>
        <v>0</v>
      </c>
      <c r="HR13" s="149">
        <f t="shared" si="21"/>
        <v>0</v>
      </c>
      <c r="HS13" s="149">
        <f t="shared" si="21"/>
        <v>0</v>
      </c>
      <c r="HT13" s="149">
        <f t="shared" si="21"/>
        <v>0</v>
      </c>
      <c r="HU13" s="149">
        <f t="shared" si="21"/>
        <v>0</v>
      </c>
      <c r="HV13" s="149">
        <f t="shared" si="21"/>
        <v>0</v>
      </c>
      <c r="HW13" s="149">
        <f t="shared" si="21"/>
        <v>0</v>
      </c>
      <c r="HX13" s="149">
        <f t="shared" si="21"/>
        <v>0</v>
      </c>
    </row>
    <row r="14" spans="1:241" s="149" customFormat="1" x14ac:dyDescent="0.3">
      <c r="A14" s="145">
        <v>153</v>
      </c>
      <c r="B14" s="146" t="s">
        <v>1144</v>
      </c>
      <c r="C14" s="146" t="s">
        <v>1144</v>
      </c>
      <c r="D14" s="146" t="s">
        <v>1144</v>
      </c>
      <c r="E14" s="146" t="s">
        <v>1144</v>
      </c>
      <c r="F14" s="136" t="s">
        <v>1221</v>
      </c>
      <c r="G14" s="146" t="s">
        <v>1144</v>
      </c>
      <c r="H14" s="146" t="s">
        <v>1144</v>
      </c>
      <c r="I14" s="135" t="s">
        <v>1146</v>
      </c>
      <c r="J14" s="154" t="s">
        <v>155</v>
      </c>
      <c r="K14" s="154" t="s">
        <v>156</v>
      </c>
      <c r="L14" s="154" t="s">
        <v>157</v>
      </c>
      <c r="M14" s="154" t="s">
        <v>1201</v>
      </c>
      <c r="N14" s="154" t="s">
        <v>1222</v>
      </c>
      <c r="O14" s="154" t="s">
        <v>1223</v>
      </c>
      <c r="P14" s="148" t="s">
        <v>1221</v>
      </c>
      <c r="Q14" s="154" t="s">
        <v>1224</v>
      </c>
      <c r="R14" s="154" t="s">
        <v>1225</v>
      </c>
      <c r="S14" s="154" t="s">
        <v>1226</v>
      </c>
      <c r="T14" s="154" t="s">
        <v>1227</v>
      </c>
      <c r="U14" s="154" t="s">
        <v>1228</v>
      </c>
      <c r="V14" s="154" t="s">
        <v>1229</v>
      </c>
      <c r="W14" s="148" t="s">
        <v>601</v>
      </c>
      <c r="X14" s="154" t="s">
        <v>601</v>
      </c>
      <c r="Y14" s="154" t="s">
        <v>1230</v>
      </c>
      <c r="Z14" s="154" t="s">
        <v>1231</v>
      </c>
      <c r="AA14" s="154" t="s">
        <v>1232</v>
      </c>
      <c r="AB14" s="154" t="s">
        <v>602</v>
      </c>
      <c r="AC14" s="154" t="s">
        <v>1159</v>
      </c>
      <c r="AD14" s="154" t="s">
        <v>1160</v>
      </c>
      <c r="AE14" s="154">
        <v>2016</v>
      </c>
      <c r="AF14" s="154">
        <v>0</v>
      </c>
      <c r="AG14" s="154">
        <v>2016</v>
      </c>
      <c r="AH14" s="118" t="s">
        <v>1161</v>
      </c>
      <c r="AI14" s="154">
        <v>1</v>
      </c>
      <c r="AJ14" s="154">
        <v>1</v>
      </c>
      <c r="AK14" s="154">
        <v>1</v>
      </c>
      <c r="AL14" s="155">
        <v>100</v>
      </c>
      <c r="AM14" s="149">
        <v>0</v>
      </c>
      <c r="AN14" s="146" t="s">
        <v>1144</v>
      </c>
      <c r="AO14" s="146" t="s">
        <v>1144</v>
      </c>
      <c r="AP14" s="146" t="s">
        <v>1144</v>
      </c>
      <c r="AQ14" s="146" t="s">
        <v>1144</v>
      </c>
      <c r="AR14" s="146" t="s">
        <v>1144</v>
      </c>
      <c r="AS14" s="150" t="s">
        <v>1144</v>
      </c>
      <c r="AT14" s="229" t="s">
        <v>1161</v>
      </c>
      <c r="AU14" s="131">
        <v>100</v>
      </c>
      <c r="AV14" s="131">
        <v>100</v>
      </c>
      <c r="AW14" s="131">
        <v>100</v>
      </c>
      <c r="AX14" s="131">
        <v>100</v>
      </c>
      <c r="AY14" s="231">
        <v>0</v>
      </c>
      <c r="BD14" s="149">
        <v>0</v>
      </c>
      <c r="BJ14" s="146">
        <v>0</v>
      </c>
      <c r="BK14" s="146" t="s">
        <v>1144</v>
      </c>
      <c r="BL14" s="146" t="s">
        <v>1144</v>
      </c>
      <c r="BM14" s="146" t="s">
        <v>1144</v>
      </c>
      <c r="BN14" s="146" t="s">
        <v>1144</v>
      </c>
      <c r="BO14" s="146" t="s">
        <v>1144</v>
      </c>
      <c r="BP14" s="146" t="s">
        <v>1144</v>
      </c>
      <c r="BQ14" s="146" t="s">
        <v>1144</v>
      </c>
      <c r="BR14" s="146" t="s">
        <v>1144</v>
      </c>
      <c r="BS14" s="146" t="s">
        <v>1144</v>
      </c>
      <c r="BT14" s="146" t="s">
        <v>1144</v>
      </c>
      <c r="BU14" s="146" t="s">
        <v>1144</v>
      </c>
      <c r="BV14" s="146" t="s">
        <v>1144</v>
      </c>
      <c r="BW14" s="154" t="s">
        <v>1144</v>
      </c>
      <c r="BX14" s="154" t="s">
        <v>1144</v>
      </c>
      <c r="BY14" s="154" t="s">
        <v>1144</v>
      </c>
      <c r="BZ14" s="154">
        <v>1</v>
      </c>
      <c r="CA14" s="154" t="s">
        <v>1144</v>
      </c>
      <c r="CB14" s="154" t="s">
        <v>1144</v>
      </c>
      <c r="CC14" s="154" t="s">
        <v>1144</v>
      </c>
      <c r="CD14" s="154">
        <v>1</v>
      </c>
      <c r="CE14" s="154" t="s">
        <v>218</v>
      </c>
      <c r="CF14" s="154" t="s">
        <v>1144</v>
      </c>
      <c r="CG14" s="154" t="s">
        <v>1144</v>
      </c>
      <c r="CH14" s="154" t="s">
        <v>1144</v>
      </c>
      <c r="CI14" s="154" t="s">
        <v>1144</v>
      </c>
      <c r="CJ14" s="154" t="s">
        <v>1144</v>
      </c>
      <c r="CK14" s="154" t="s">
        <v>1144</v>
      </c>
      <c r="CL14" s="154" t="s">
        <v>1144</v>
      </c>
      <c r="CM14" s="154" t="s">
        <v>1144</v>
      </c>
      <c r="CN14" s="154" t="s">
        <v>1144</v>
      </c>
      <c r="CO14" s="154" t="s">
        <v>1144</v>
      </c>
      <c r="CP14" s="154">
        <v>1</v>
      </c>
      <c r="CQ14" s="154" t="s">
        <v>1144</v>
      </c>
      <c r="CR14" s="154" t="s">
        <v>1144</v>
      </c>
      <c r="CS14" s="154" t="s">
        <v>1144</v>
      </c>
      <c r="CT14" s="154" t="s">
        <v>1144</v>
      </c>
      <c r="CU14" s="154" t="s">
        <v>1144</v>
      </c>
      <c r="CV14" s="154" t="s">
        <v>1144</v>
      </c>
      <c r="CW14" s="154" t="s">
        <v>1144</v>
      </c>
      <c r="CX14" s="154" t="s">
        <v>1144</v>
      </c>
      <c r="CY14" s="154" t="s">
        <v>1144</v>
      </c>
      <c r="CZ14" s="154" t="s">
        <v>1144</v>
      </c>
      <c r="DA14" s="154" t="s">
        <v>1144</v>
      </c>
      <c r="DB14" s="152" t="str">
        <f t="shared" si="32"/>
        <v xml:space="preserve">Plan de Acción, SGC, PROCESO: Gestión Jurídica, PLAN ESTRATÉGICO DE TALENTO HUMANO, </v>
      </c>
      <c r="DC14" s="149" t="str">
        <f t="shared" si="1"/>
        <v>El indicador mide la cantidad de anteproyectos y proyectos de Acuerdo y proyectos de Ley  analizados por la Oficina Asesora de Jurídica frente a las solicitudes que   se presenten a la Dependencia.</v>
      </c>
      <c r="DD14" s="149" t="str">
        <f t="shared" si="1"/>
        <v>Realizar el análisis jurídico de los anteproyectos, proyectos de Acuerdo y de Ley que sean solicitados a la Oficina Asesora de Jurídica con el fin de que la Secretaría General emita conceptos de viabilidad solamente a los que se ajusten a derecho</v>
      </c>
      <c r="DE14" s="149" t="str">
        <f t="shared" si="1"/>
        <v>Respaldar jurídicamente a la Secretaría General para avalar solamente los proyectos de acuerdo y de ley que se ajusten al ordenamiento jurídico y que tengan relación con las funciones de la entidad.</v>
      </c>
      <c r="DF14" s="149" t="str">
        <f t="shared" si="1"/>
        <v>Base de datos en excel</v>
      </c>
      <c r="DG14" s="149" t="str">
        <f t="shared" si="1"/>
        <v>Constante</v>
      </c>
      <c r="DH14" s="149" t="str">
        <f t="shared" si="2"/>
        <v/>
      </c>
      <c r="DI14" s="149">
        <f t="shared" si="3"/>
        <v>100</v>
      </c>
      <c r="DJ14" s="149">
        <f t="shared" si="4"/>
        <v>100</v>
      </c>
      <c r="DK14" s="149">
        <f t="shared" si="5"/>
        <v>100</v>
      </c>
      <c r="DL14" s="149">
        <f t="shared" si="6"/>
        <v>100</v>
      </c>
      <c r="DM14" s="149">
        <f t="shared" si="7"/>
        <v>100</v>
      </c>
      <c r="DN14" s="149">
        <f t="shared" si="36"/>
        <v>100</v>
      </c>
      <c r="DO14" s="149">
        <f t="shared" si="8"/>
        <v>100</v>
      </c>
      <c r="DP14" s="149">
        <f t="shared" si="8"/>
        <v>100</v>
      </c>
      <c r="DQ14" s="149">
        <f t="shared" si="8"/>
        <v>100</v>
      </c>
      <c r="DR14" s="149">
        <f t="shared" si="8"/>
        <v>100</v>
      </c>
      <c r="DS14" s="149">
        <f t="shared" si="8"/>
        <v>100</v>
      </c>
      <c r="DT14" s="149">
        <f t="shared" si="8"/>
        <v>100</v>
      </c>
      <c r="DU14" s="149">
        <f t="shared" si="9"/>
        <v>100</v>
      </c>
      <c r="DV14" s="149">
        <f t="shared" si="9"/>
        <v>8</v>
      </c>
      <c r="DW14" s="149">
        <f t="shared" si="9"/>
        <v>8</v>
      </c>
      <c r="DX14" s="149" t="str">
        <f t="shared" si="9"/>
        <v xml:space="preserve">Durante el mes de enero fue emitido el análisis jurídico de ocho (8)  proyectos de Acuerdo de los 8 solicitados a la Oficina Asesora de Jurídica, dando cumplimiento al 100% de lo solicitado. </v>
      </c>
      <c r="DY14" s="149" t="str">
        <f t="shared" si="9"/>
        <v xml:space="preserve">Durante este mes  no se presentaron retrasos o dificultades para la expedición del análisis jurídico de los  proyectos de acuerdo  solicitados a la OAJ </v>
      </c>
      <c r="DZ14" s="149" t="str">
        <f t="shared" si="9"/>
        <v xml:space="preserve">Respaldar jurídicamente la viabilidad juridica o no de los proyectos de acuerdo o de Ley donde la Secretaría General tenga interes y se enmarque dentro de sus funciones. </v>
      </c>
      <c r="EA14" s="149">
        <f t="shared" si="9"/>
        <v>10</v>
      </c>
      <c r="EB14" s="149">
        <f t="shared" si="9"/>
        <v>10</v>
      </c>
      <c r="EC14" s="149" t="str">
        <f t="shared" si="9"/>
        <v xml:space="preserve">Durante el mes de febrero fue emitido el análisis jurídico de diez (10)  proyectos de Acuerdo de los 10 solicitados a la Oficina Asesora de Jurídica, dando cumplimiento al 100% de lo solicitado. </v>
      </c>
      <c r="ED14" s="149" t="str">
        <f t="shared" si="9"/>
        <v xml:space="preserve">Durante este mes  no se presentaron retrasos o dificultades para la expedición del análisis jurídico de los  proyectos de acuerdo  solicitados a la OAJ </v>
      </c>
      <c r="EE14" s="149" t="str">
        <f t="shared" si="10"/>
        <v xml:space="preserve">Respaldar jurídicamente la viabilidad juridica o no de los proyectos de acuerdo o de Ley donde la Secretaría General tenga interes y se enmarque dentro de sus funciones. </v>
      </c>
      <c r="EF14" s="149">
        <f t="shared" si="10"/>
        <v>7</v>
      </c>
      <c r="EG14" s="149">
        <f t="shared" si="10"/>
        <v>7</v>
      </c>
      <c r="EH14" s="149" t="str">
        <f t="shared" si="10"/>
        <v xml:space="preserve">Durante el mes de marzo fue emitido el análisis jurídico de siete (7)  proyectos de Acuerdo de los 7 solicitados a la Oficina Asesora de Jurídica, dando cumplimiento al 100% de lo solicitado.  </v>
      </c>
      <c r="EI14" s="149" t="str">
        <f t="shared" si="10"/>
        <v xml:space="preserve">Durante este mes  no se presentaron retrasos o dificultades para la expedición del análisis jurídico de los  proyectos de acuerdo  solicitados a la OAJ </v>
      </c>
      <c r="EJ14" s="149" t="str">
        <f t="shared" si="10"/>
        <v xml:space="preserve">Respaldar jurídicamente la viabilidad juridica o no de los proyectos de acuerdo o de Ley donde la Secretaría General tenga interes y se enmarque dentro de sus funciones. </v>
      </c>
      <c r="EK14" s="149">
        <f t="shared" si="10"/>
        <v>3</v>
      </c>
      <c r="EL14" s="149">
        <f t="shared" si="10"/>
        <v>3</v>
      </c>
      <c r="EM14" s="149" t="str">
        <f t="shared" si="10"/>
        <v xml:space="preserve">Durante el mes de abril fue emitido el análisis jurídico de dos (2) proyectos de ley y un (1)  proyecto de Acuerdo, de los 3 productos solicitados a la Oficina Asesora de Jurídica, dando cumplimiento al 100% de lo solicitado.  </v>
      </c>
      <c r="EN14" s="149" t="str">
        <f t="shared" si="10"/>
        <v xml:space="preserve">Durante este mes  no se presentaron retrasos o dificultades para la expedición del análisis jurídico de los  proyectos de acuerdo  solicitados a la OAJ </v>
      </c>
      <c r="EO14" s="149" t="str">
        <f t="shared" si="11"/>
        <v xml:space="preserve">Respaldar jurídicamente la viabilidad juridica o no de los proyectos de acuerdo o de Ley donde la Secretaría General tenga interes y se enmarque dentro de sus funciones. </v>
      </c>
      <c r="EP14" s="149">
        <f t="shared" si="11"/>
        <v>2</v>
      </c>
      <c r="EQ14" s="149">
        <f t="shared" si="11"/>
        <v>2</v>
      </c>
      <c r="ER14" s="149" t="str">
        <f t="shared" si="11"/>
        <v>Durante el mes de mayol fue emitido el análisis jurídico de dos (2)  proyectos de Acuerdo de los 2 solicitados a la Oficina Asesora de Jurídica, dando cumplimiento al 100% de lo solicitado</v>
      </c>
      <c r="ES14" s="149" t="str">
        <f t="shared" si="11"/>
        <v xml:space="preserve">Durante este mes  no se presentaron retrasos o dificultades para la expedición del análisis jurídico de los  proyectos de acuerdo  solicitados a la OAJ </v>
      </c>
      <c r="ET14" s="149" t="str">
        <f t="shared" si="11"/>
        <v xml:space="preserve">Respaldar jurídicamente la viabilidad juridica o no de los proyectos de acuerdo o de Ley donde la Secretaría General tenga interes y se enmarque dentro de sus funciones. </v>
      </c>
      <c r="EU14" s="149">
        <f t="shared" si="11"/>
        <v>3</v>
      </c>
      <c r="EV14" s="149">
        <f t="shared" si="11"/>
        <v>3</v>
      </c>
      <c r="EW14" s="149" t="str">
        <f t="shared" si="11"/>
        <v>Durante el mes de junio fue emitido el concepto jurídico de un Proyecto de Ley y dos Proyectos de acuerdo solcitados al a Oficina Asesora de Jurídica, para un total de 3 productos</v>
      </c>
      <c r="EX14" s="149" t="str">
        <f t="shared" si="11"/>
        <v xml:space="preserve">Durante este mes no se presentaron retrasos o dificultades para el cumplimiento de este indicador </v>
      </c>
      <c r="EY14" s="149" t="str">
        <f t="shared" si="11"/>
        <v>Respaldar jurídicamente la viabilidad juridica o no de los proyectos de acuerdo o de Ley donde la Secretaría General tenga interes y se enmarque dentro de sus funciones</v>
      </c>
      <c r="EZ14" s="149">
        <f t="shared" si="11"/>
        <v>33</v>
      </c>
      <c r="FA14" s="149">
        <f t="shared" si="11"/>
        <v>33</v>
      </c>
      <c r="FB14" s="149" t="str">
        <f t="shared" si="11"/>
        <v/>
      </c>
      <c r="FC14" s="149" t="str">
        <f t="shared" si="11"/>
        <v/>
      </c>
      <c r="FD14" s="149" t="str">
        <f t="shared" si="12"/>
        <v/>
      </c>
      <c r="FE14" s="149" t="str">
        <f t="shared" si="12"/>
        <v/>
      </c>
      <c r="FF14" s="149" t="str">
        <f t="shared" si="12"/>
        <v/>
      </c>
      <c r="FG14" s="149" t="str">
        <f t="shared" si="12"/>
        <v/>
      </c>
      <c r="FH14" s="149" t="str">
        <f t="shared" si="12"/>
        <v/>
      </c>
      <c r="FI14" s="149" t="str">
        <f t="shared" si="12"/>
        <v/>
      </c>
      <c r="FJ14" s="149" t="str">
        <f t="shared" si="12"/>
        <v/>
      </c>
      <c r="FK14" s="149" t="str">
        <f t="shared" si="12"/>
        <v/>
      </c>
      <c r="FL14" s="149" t="str">
        <f t="shared" si="12"/>
        <v/>
      </c>
      <c r="FM14" s="149" t="str">
        <f t="shared" si="12"/>
        <v/>
      </c>
      <c r="FN14" s="149" t="str">
        <f t="shared" si="13"/>
        <v/>
      </c>
      <c r="FO14" s="149" t="str">
        <f t="shared" si="13"/>
        <v/>
      </c>
      <c r="FP14" s="149" t="str">
        <f t="shared" si="13"/>
        <v/>
      </c>
      <c r="FQ14" s="149" t="str">
        <f t="shared" si="13"/>
        <v/>
      </c>
      <c r="FR14" s="149" t="str">
        <f t="shared" si="13"/>
        <v/>
      </c>
      <c r="FS14" s="149" t="str">
        <f t="shared" si="13"/>
        <v/>
      </c>
      <c r="FT14" s="149" t="str">
        <f t="shared" si="13"/>
        <v/>
      </c>
      <c r="FU14" s="149" t="str">
        <f t="shared" si="13"/>
        <v/>
      </c>
      <c r="FV14" s="149" t="str">
        <f t="shared" si="13"/>
        <v/>
      </c>
      <c r="FW14" s="149" t="str">
        <f t="shared" si="13"/>
        <v/>
      </c>
      <c r="FX14" s="149" t="str">
        <f t="shared" si="14"/>
        <v/>
      </c>
      <c r="FY14" s="149" t="str">
        <f t="shared" si="14"/>
        <v/>
      </c>
      <c r="FZ14" s="149" t="str">
        <f t="shared" si="14"/>
        <v/>
      </c>
      <c r="GA14" s="149" t="str">
        <f t="shared" si="14"/>
        <v/>
      </c>
      <c r="GB14" s="149" t="str">
        <f t="shared" si="14"/>
        <v/>
      </c>
      <c r="GC14" s="149" t="str">
        <f t="shared" si="14"/>
        <v/>
      </c>
      <c r="GD14" s="149" t="str">
        <f t="shared" si="14"/>
        <v/>
      </c>
      <c r="GE14" s="149" t="str">
        <f t="shared" si="14"/>
        <v/>
      </c>
      <c r="GF14" s="149">
        <f t="shared" si="33"/>
        <v>1</v>
      </c>
      <c r="GG14" s="149">
        <f t="shared" si="22"/>
        <v>1</v>
      </c>
      <c r="GH14" s="149">
        <f t="shared" si="23"/>
        <v>1</v>
      </c>
      <c r="GI14" s="149">
        <f t="shared" si="24"/>
        <v>1</v>
      </c>
      <c r="GJ14" s="149">
        <f t="shared" si="25"/>
        <v>1</v>
      </c>
      <c r="GK14" s="149">
        <f t="shared" si="34"/>
        <v>1</v>
      </c>
      <c r="GL14" s="149">
        <f t="shared" si="15"/>
        <v>100</v>
      </c>
      <c r="GM14" s="149">
        <f t="shared" si="16"/>
        <v>100</v>
      </c>
      <c r="GN14" s="149">
        <f t="shared" si="17"/>
        <v>100</v>
      </c>
      <c r="GO14" s="149">
        <f t="shared" si="18"/>
        <v>100</v>
      </c>
      <c r="GP14" s="149">
        <f t="shared" si="19"/>
        <v>100</v>
      </c>
      <c r="GQ14" s="149">
        <f t="shared" si="19"/>
        <v>100</v>
      </c>
      <c r="GR14" s="153">
        <f t="shared" si="26"/>
        <v>100</v>
      </c>
      <c r="GS14" s="149">
        <f t="shared" ref="GS14:GS58" si="37">+IF(OR($A14=52,$A14=124),1,IFERROR(IF($X14="Creciente",IF($AB14="Número",SUM(GL14)/SUM(DO14)*($AX14-$AW14),SUM(GL14)/SUM(DO14))*($AX14-$AW14),IF(AND($DG14="Constante",$AB14="Porcentaje"),AVERAGEIF(GL14,"&lt;&gt;0")/AVERAGEIF(DO14,"&lt;&gt;0")*100,SUM(GL14)/SUM(DO14)*$DU14)),"No Programó"))</f>
        <v>100</v>
      </c>
      <c r="GT14" s="149">
        <f>+IF(OR($A14=52,$A14=124),1,IFERROR(IF($X14="Creciente",IF($AB14="Número",SUM($GL14:GM14)/SUM($DO14:DP14)*($AX14-$AW14),SUM($GL14:GM14)/SUM($DO14:DP14))*($AX14-$AW14),IF($DG14="Creciente",GM14*GM14/GM14,IF(AND($DG14="Constante",$AB14="Porcentaje"),AVERAGEIF($GL14:GM14,"&lt;&gt;0")/AVERAGEIF($DO14:DP14,"&lt;&gt;0")*100,SUM($GL14:GM14)/SUM($DO14:DP14)*$DU14))),GS14))</f>
        <v>100</v>
      </c>
      <c r="GU14" s="149">
        <f>+IF(OR($A14=52,$A14=124),1,IFERROR(IF($X14="Creciente",IF($AB14="Número",SUM($GL14:GN14)/SUM($DO14:DQ14)*($AX14-$AW14),SUM($GL14:GN14)/SUM($DO14:DQ14))*($AX14-$AW14),IF($DG14="Creciente",GN14*GN14/GN14,IF(AND($DG14="Constante",$AB14="Porcentaje"),AVERAGEIF($GL14:GN14,"&lt;&gt;0")/AVERAGEIF($DO14:DQ14,"&lt;&gt;0")*100,SUM($GL14:GN14)/SUM($DO14:DQ14)*$DU14))),GT14))</f>
        <v>100</v>
      </c>
      <c r="GV14" s="149">
        <f>+IF(OR($A14=52,$A14=124),1,IFERROR(IF($X14="Creciente",IF($AB14="Número",SUM($GL14:GO14)/SUM($DO14:DR14)*($AX14-$AW14),SUM($GL14:GO14)/SUM($DO14:DR14))*($AX14-$AW14),IF($DG14="Creciente",GO14*GO14/GO14,IF(AND($DG14="Constante",$AB14="Porcentaje"),AVERAGEIF($GL14:GO14,"&lt;&gt;0")/AVERAGEIF($DO14:DR14,"&lt;&gt;0")*100,SUM($GL14:GO14)/SUM($DO14:DR14)*$DU14))),GU14))</f>
        <v>100</v>
      </c>
      <c r="GW14" s="149">
        <f>+IF(OR($A14=52,$A14=124),1,IFERROR(IF($X14="Creciente",IF($AB14="Número",SUM($GL14:GP14)/SUM($DO14:DS14)*($AX14-$AW14),SUM($GL14:GP14)/SUM($DO14:DS14))*($AX14-$AW14),IF($DG14="Creciente",GP14*GP14/GP14,IF(AND($DG14="Constante",$AB14="Porcentaje"),AVERAGEIF($GL14:GP14,"&lt;&gt;0")/AVERAGEIF($DO14:DS14,"&lt;&gt;0")*100,SUM($GL14:GP14)/SUM($DO14:DS14)*$DU14))),GV14))</f>
        <v>100</v>
      </c>
      <c r="GX14" s="149">
        <f>+IF(OR($A14=52,$A14=124),1,IFERROR(IF($X14="Creciente",IF($AB14="Número",SUM($GL14:GQ14)/SUM($DO14:DT14)*($AX14-$AW14),SUM($GL14:GQ14)/SUM($DO14:DT14))*($AX14-$AW14),IF($DG14="Creciente",GQ14*GQ14/GQ14,IF(AND($DG14="Constante",$AB14="Porcentaje"),AVERAGEIF($GL14:GQ14,"&lt;&gt;0")/AVERAGEIF($DO14:DT14,"&lt;&gt;0")*100,SUM($GL14:GQ14)/SUM($DO14:DT14)*$DU14))),GW14))</f>
        <v>100</v>
      </c>
      <c r="GY14" s="149" t="str">
        <f t="shared" si="28"/>
        <v>El indicador mide la cantidad de anteproyectos y proyectos de Acuerdo y proyectos de Ley  analizados por la Oficina Asesora de Jurídica frente a las solicitudes que   se presenten a la Dependencia.</v>
      </c>
      <c r="GZ14" s="149" t="str">
        <f t="shared" si="29"/>
        <v>Realizar el análisis jurídico de los anteproyectos, proyectos de Acuerdo y de Ley que sean solicitados a la Oficina Asesora de Jurídica con el fin de que la Secretaría General emita conceptos de viabilidad solamente a los que se ajusten a derecho</v>
      </c>
      <c r="HA14" s="149" t="str">
        <f t="shared" si="30"/>
        <v>Respaldar jurídicamente a la Secretaría General para avalar solamente los proyectos de acuerdo y de ley que se ajusten al ordenamiento jurídico y que tengan relación con las funciones de la entidad.</v>
      </c>
      <c r="HB14" s="149" t="str">
        <f t="shared" si="31"/>
        <v>Base de datos en excel</v>
      </c>
      <c r="HC14" s="149" t="str">
        <f t="shared" si="20"/>
        <v>No aplica</v>
      </c>
      <c r="HD14" s="149" t="str">
        <f t="shared" si="20"/>
        <v>Cumplido</v>
      </c>
      <c r="HE14" s="149" t="str">
        <f t="shared" si="20"/>
        <v>Adecuado</v>
      </c>
      <c r="HF14" s="149" t="str">
        <f t="shared" si="20"/>
        <v>Coherente</v>
      </c>
      <c r="HG14" s="149" t="str">
        <f t="shared" si="20"/>
        <v>Concuerda</v>
      </c>
      <c r="HH14" s="149" t="str">
        <f t="shared" si="20"/>
        <v>Concuerda</v>
      </c>
      <c r="HI14" s="149" t="str">
        <f t="shared" si="20"/>
        <v>No aplica</v>
      </c>
      <c r="HJ14" s="149" t="str">
        <f t="shared" si="20"/>
        <v>Adecuado</v>
      </c>
      <c r="HK14" s="149" t="str">
        <f t="shared" si="20"/>
        <v>Oportuna</v>
      </c>
      <c r="HL14" s="149" t="str">
        <f t="shared" si="20"/>
        <v xml:space="preserve">El reporte del indicador es adecuado en términos de coherencia y consistencia. El indicador presenta un cumplimiento del 100% </v>
      </c>
      <c r="HM14" s="149" t="str">
        <f t="shared" si="21"/>
        <v>Jorge Ruiz</v>
      </c>
      <c r="HN14" s="149" t="str">
        <f t="shared" si="21"/>
        <v>Cumple</v>
      </c>
      <c r="HO14" s="149" t="str">
        <f t="shared" si="21"/>
        <v>Cumplido</v>
      </c>
      <c r="HP14" s="149" t="str">
        <f t="shared" si="21"/>
        <v>Adecuado</v>
      </c>
      <c r="HQ14" s="149" t="str">
        <f t="shared" si="21"/>
        <v>Coherente</v>
      </c>
      <c r="HR14" s="149" t="str">
        <f t="shared" si="21"/>
        <v>Concuerda</v>
      </c>
      <c r="HS14" s="149" t="str">
        <f t="shared" si="21"/>
        <v>Concuerda</v>
      </c>
      <c r="HT14" s="149" t="str">
        <f t="shared" si="21"/>
        <v>No aplica</v>
      </c>
      <c r="HU14" s="149" t="str">
        <f t="shared" si="21"/>
        <v>Adecuado</v>
      </c>
      <c r="HV14" s="149" t="str">
        <f t="shared" si="21"/>
        <v>Oportuna</v>
      </c>
      <c r="HW14" s="149" t="str">
        <f t="shared" si="21"/>
        <v xml:space="preserve">El reporte del indicador es adecuado en términos de coherencia y consistencia. El indicador presenta un cumplimiento del 100% </v>
      </c>
      <c r="HX14" s="149" t="str">
        <f t="shared" si="21"/>
        <v>Jorge Ruiz</v>
      </c>
    </row>
    <row r="15" spans="1:241" s="149" customFormat="1" x14ac:dyDescent="0.3">
      <c r="A15" s="145">
        <v>154</v>
      </c>
      <c r="B15" s="146" t="s">
        <v>1144</v>
      </c>
      <c r="C15" s="146" t="s">
        <v>1144</v>
      </c>
      <c r="D15" s="146" t="s">
        <v>1144</v>
      </c>
      <c r="E15" s="146" t="s">
        <v>1144</v>
      </c>
      <c r="F15" s="136" t="s">
        <v>1233</v>
      </c>
      <c r="G15" s="146" t="s">
        <v>1144</v>
      </c>
      <c r="H15" s="146" t="s">
        <v>1144</v>
      </c>
      <c r="I15" s="135" t="s">
        <v>1146</v>
      </c>
      <c r="J15" s="154" t="s">
        <v>155</v>
      </c>
      <c r="K15" s="154" t="s">
        <v>156</v>
      </c>
      <c r="L15" s="154" t="s">
        <v>157</v>
      </c>
      <c r="M15" s="154" t="s">
        <v>1201</v>
      </c>
      <c r="N15" s="154" t="s">
        <v>1222</v>
      </c>
      <c r="O15" s="154" t="s">
        <v>1223</v>
      </c>
      <c r="P15" s="148" t="s">
        <v>1233</v>
      </c>
      <c r="Q15" s="154" t="s">
        <v>1234</v>
      </c>
      <c r="R15" s="154" t="s">
        <v>1235</v>
      </c>
      <c r="S15" s="154" t="s">
        <v>1236</v>
      </c>
      <c r="T15" s="154" t="s">
        <v>1237</v>
      </c>
      <c r="U15" s="154" t="s">
        <v>1238</v>
      </c>
      <c r="V15" s="154" t="s">
        <v>1239</v>
      </c>
      <c r="W15" s="148" t="s">
        <v>601</v>
      </c>
      <c r="X15" s="154" t="s">
        <v>601</v>
      </c>
      <c r="Y15" s="154" t="s">
        <v>1240</v>
      </c>
      <c r="Z15" s="154" t="s">
        <v>1241</v>
      </c>
      <c r="AA15" s="154" t="s">
        <v>1232</v>
      </c>
      <c r="AB15" s="154" t="s">
        <v>602</v>
      </c>
      <c r="AC15" s="154" t="s">
        <v>1159</v>
      </c>
      <c r="AD15" s="154" t="s">
        <v>1160</v>
      </c>
      <c r="AE15" s="154">
        <v>2016</v>
      </c>
      <c r="AF15" s="154">
        <v>0</v>
      </c>
      <c r="AG15" s="154">
        <v>2016</v>
      </c>
      <c r="AH15" s="118" t="s">
        <v>1161</v>
      </c>
      <c r="AI15" s="154">
        <v>1</v>
      </c>
      <c r="AJ15" s="154">
        <v>1</v>
      </c>
      <c r="AK15" s="154">
        <v>1</v>
      </c>
      <c r="AL15" s="155">
        <v>100</v>
      </c>
      <c r="AM15" s="149">
        <v>0</v>
      </c>
      <c r="AN15" s="146" t="s">
        <v>1144</v>
      </c>
      <c r="AO15" s="146" t="s">
        <v>1144</v>
      </c>
      <c r="AP15" s="146" t="s">
        <v>1144</v>
      </c>
      <c r="AQ15" s="146" t="s">
        <v>1144</v>
      </c>
      <c r="AR15" s="146" t="s">
        <v>1144</v>
      </c>
      <c r="AS15" s="150" t="s">
        <v>1144</v>
      </c>
      <c r="AT15" s="229" t="s">
        <v>1161</v>
      </c>
      <c r="AU15" s="131">
        <v>100</v>
      </c>
      <c r="AV15" s="131">
        <v>100</v>
      </c>
      <c r="AW15" s="131">
        <v>100</v>
      </c>
      <c r="AX15" s="131">
        <v>100</v>
      </c>
      <c r="AY15" s="231">
        <v>0</v>
      </c>
      <c r="BD15" s="149">
        <v>0</v>
      </c>
      <c r="BJ15" s="146">
        <v>0</v>
      </c>
      <c r="BK15" s="146" t="s">
        <v>1144</v>
      </c>
      <c r="BL15" s="146" t="s">
        <v>1144</v>
      </c>
      <c r="BM15" s="146" t="s">
        <v>1144</v>
      </c>
      <c r="BN15" s="146" t="s">
        <v>1144</v>
      </c>
      <c r="BO15" s="146" t="s">
        <v>1144</v>
      </c>
      <c r="BP15" s="146" t="s">
        <v>1144</v>
      </c>
      <c r="BQ15" s="146" t="s">
        <v>1144</v>
      </c>
      <c r="BR15" s="146" t="s">
        <v>1144</v>
      </c>
      <c r="BS15" s="146" t="s">
        <v>1144</v>
      </c>
      <c r="BT15" s="146" t="s">
        <v>1144</v>
      </c>
      <c r="BU15" s="146" t="s">
        <v>1144</v>
      </c>
      <c r="BV15" s="146" t="s">
        <v>1144</v>
      </c>
      <c r="BW15" s="154" t="s">
        <v>1144</v>
      </c>
      <c r="BX15" s="154" t="s">
        <v>1144</v>
      </c>
      <c r="BY15" s="154" t="s">
        <v>1144</v>
      </c>
      <c r="BZ15" s="154">
        <v>1</v>
      </c>
      <c r="CA15" s="154" t="s">
        <v>1144</v>
      </c>
      <c r="CB15" s="154" t="s">
        <v>1144</v>
      </c>
      <c r="CC15" s="154" t="s">
        <v>1144</v>
      </c>
      <c r="CD15" s="154">
        <v>1</v>
      </c>
      <c r="CE15" s="154" t="s">
        <v>218</v>
      </c>
      <c r="CF15" s="154" t="s">
        <v>1144</v>
      </c>
      <c r="CG15" s="154" t="s">
        <v>1144</v>
      </c>
      <c r="CH15" s="154" t="s">
        <v>1144</v>
      </c>
      <c r="CI15" s="154" t="s">
        <v>1144</v>
      </c>
      <c r="CJ15" s="154" t="s">
        <v>1144</v>
      </c>
      <c r="CK15" s="154" t="s">
        <v>1144</v>
      </c>
      <c r="CL15" s="154" t="s">
        <v>1144</v>
      </c>
      <c r="CM15" s="154" t="s">
        <v>1144</v>
      </c>
      <c r="CN15" s="154" t="s">
        <v>1144</v>
      </c>
      <c r="CO15" s="154" t="s">
        <v>1144</v>
      </c>
      <c r="CP15" s="154">
        <v>1</v>
      </c>
      <c r="CQ15" s="154" t="s">
        <v>1144</v>
      </c>
      <c r="CR15" s="154" t="s">
        <v>1144</v>
      </c>
      <c r="CS15" s="154" t="s">
        <v>1144</v>
      </c>
      <c r="CT15" s="154" t="s">
        <v>1144</v>
      </c>
      <c r="CU15" s="154" t="s">
        <v>1144</v>
      </c>
      <c r="CV15" s="154" t="s">
        <v>1144</v>
      </c>
      <c r="CW15" s="154" t="s">
        <v>1144</v>
      </c>
      <c r="CX15" s="154" t="s">
        <v>1144</v>
      </c>
      <c r="CY15" s="154" t="s">
        <v>1144</v>
      </c>
      <c r="CZ15" s="154" t="s">
        <v>1144</v>
      </c>
      <c r="DA15" s="154" t="s">
        <v>1144</v>
      </c>
      <c r="DB15" s="152" t="str">
        <f>IF(BW15="No Aplica","",$BW$5)&amp;IF(BX15="No Aplica","",$BX$5)&amp;IF(BY15="No Aplica","",$BY$5)&amp;IF(BZ15="No Aplica","",$BZ$5)&amp;IF(CA15="No Aplica","",$CA$5)&amp;IF(CB15="No Aplica","",CB15&amp;" ")&amp;IF(CC15="No Aplica","",CC15&amp;", ")&amp;IF(CD15="No Aplica","",$CD$5)&amp;IF(CE15="No Aplica","",$CE$5&amp;CE15&amp;", ")&amp;IF(CF15="No Aplica","",$CF$5)&amp;IF(CG15="No Aplica","",$CG$5)&amp;IF(CH15="No Aplica","",$CH$5)&amp;IF(CI15="No Aplica","",$CI$5)&amp;IF(CJ15="No Aplica","",$CJ$5)&amp;IF(CK15="No Aplica","",$CK$5)&amp;IF(CL15="No Aplica","",$CL$5)&amp;IF(CM15="No Aplica","",$CM$5)&amp;IF(CN15="No Aplica","",$CN$5)&amp;IF(CO15="No Aplica","",$CO$5)&amp;IF(CP15="No Aplica","",$CP$5)&amp;IF(CQ15="No Aplica","",$CQ$5)&amp;IF(CR15="No Aplica","",$CR$5)&amp;IF(CS15="No Aplica","",$CS$5)&amp;IF(CT15="No Aplica","",$CT$5)&amp;IF(CU15="No Aplica","",$CU$5)&amp;IF(CV15="No Aplica","",$CV$5)&amp;IF(CW15="No Aplica","",CW15&amp;", ")&amp;IF(CX15="No Aplica","",$CX$5&amp;CX15&amp;", ")&amp;IF(CY15="No Aplica","",$CY$5)&amp;IF(CZ15="No Aplica","",$CZ$5)&amp;IF(DA15="No Aplica","",$DA$5)</f>
        <v xml:space="preserve">Plan de Acción, SGC, PROCESO: Gestión Jurídica, PLAN ESTRATÉGICO DE TALENTO HUMANO, </v>
      </c>
      <c r="DC15" s="149" t="str">
        <f t="shared" si="1"/>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
      <c r="DD15" s="149" t="str">
        <f t="shared" si="1"/>
        <v>Emitir conceptos jurídicos  para dar respuesta a las solicitudes y  orientar a las dependencias de la Secretaría General en aras de que sus actuaciones sean acordes al ordenamiento jurídico.</v>
      </c>
      <c r="DE15" s="149" t="str">
        <f t="shared" si="1"/>
        <v xml:space="preserve">Orientar a las diferentes dependencias con el fin de prevenir el daño antijuridico </v>
      </c>
      <c r="DF15" s="149" t="str">
        <f t="shared" si="1"/>
        <v>Base de datos en excel</v>
      </c>
      <c r="DG15" s="149" t="str">
        <f t="shared" si="1"/>
        <v>Constante</v>
      </c>
      <c r="DH15" s="149" t="str">
        <f t="shared" si="2"/>
        <v/>
      </c>
      <c r="DI15" s="149">
        <f t="shared" si="3"/>
        <v>100</v>
      </c>
      <c r="DJ15" s="149">
        <f t="shared" si="4"/>
        <v>100</v>
      </c>
      <c r="DK15" s="149">
        <f t="shared" si="5"/>
        <v>100</v>
      </c>
      <c r="DL15" s="149">
        <f t="shared" si="6"/>
        <v>100</v>
      </c>
      <c r="DM15" s="149">
        <f t="shared" si="7"/>
        <v>100</v>
      </c>
      <c r="DN15" s="149">
        <f t="shared" si="36"/>
        <v>100</v>
      </c>
      <c r="DO15" s="149">
        <f t="shared" si="8"/>
        <v>100</v>
      </c>
      <c r="DP15" s="149">
        <f t="shared" si="8"/>
        <v>100</v>
      </c>
      <c r="DQ15" s="149">
        <f t="shared" si="8"/>
        <v>100</v>
      </c>
      <c r="DR15" s="149">
        <f t="shared" si="8"/>
        <v>100</v>
      </c>
      <c r="DS15" s="149">
        <f t="shared" si="8"/>
        <v>100</v>
      </c>
      <c r="DT15" s="149">
        <f t="shared" si="8"/>
        <v>100</v>
      </c>
      <c r="DU15" s="149">
        <f t="shared" si="9"/>
        <v>100</v>
      </c>
      <c r="DV15" s="149">
        <f t="shared" si="9"/>
        <v>0</v>
      </c>
      <c r="DW15" s="149">
        <f t="shared" si="9"/>
        <v>0</v>
      </c>
      <c r="DX15" s="149" t="str">
        <f t="shared" si="9"/>
        <v>Durante el mes de enero, no fueron expedidos Conceptos , debido a que todos los trámites que cursaban en la  Oficina se encontraban dentro del término legal</v>
      </c>
      <c r="DY15" s="149" t="str">
        <f t="shared" si="9"/>
        <v xml:space="preserve">Durante este mes  no se presentaron retrasos o dificultades para la expedición de los Conceptos solicitados a la OAJ </v>
      </c>
      <c r="DZ15" s="149" t="str">
        <f t="shared" si="9"/>
        <v xml:space="preserve">orientar a todas las dependencias con el fin de prevenir el daño antijuridico </v>
      </c>
      <c r="EA15" s="149">
        <f t="shared" si="9"/>
        <v>3</v>
      </c>
      <c r="EB15" s="149">
        <f t="shared" si="9"/>
        <v>3</v>
      </c>
      <c r="EC15" s="149" t="str">
        <f t="shared" si="9"/>
        <v>Durante el mes de febrero fueron emitidos tres (3) conceptos jurídicos de los 3 solicitados a la Oficina Asesora de Jurídica, dando cumplimiento al 100% de lo solicitado</v>
      </c>
      <c r="ED15" s="149" t="str">
        <f t="shared" si="9"/>
        <v xml:space="preserve">Durante este mes  no se presentaron retrasos o dificultades para la expedición de los Conceptos solicitados a la OAJ </v>
      </c>
      <c r="EE15" s="149" t="str">
        <f t="shared" si="10"/>
        <v xml:space="preserve">orientar a todas las dependencias con el fin de prevenir el daño antijuridico </v>
      </c>
      <c r="EF15" s="149">
        <f t="shared" si="10"/>
        <v>4</v>
      </c>
      <c r="EG15" s="149">
        <f t="shared" si="10"/>
        <v>4</v>
      </c>
      <c r="EH15" s="149" t="str">
        <f t="shared" si="10"/>
        <v>Durante el mes de marzo fueron emitidos cuatro (4) conceptos jurídicos de los 4 solicitados a la Oficina Asesora de Jurídica, dando cumplimiento al 100% de lo solicitado</v>
      </c>
      <c r="EI15" s="149" t="str">
        <f t="shared" si="10"/>
        <v xml:space="preserve">Durante este mes  no se presentaron retrasos o dificultades para la expedición de los Conceptos solicitados a la OAJ </v>
      </c>
      <c r="EJ15" s="149" t="str">
        <f t="shared" si="10"/>
        <v xml:space="preserve">orientar a todas las dependencias con el fin de prevenir el daño antijuridico </v>
      </c>
      <c r="EK15" s="149">
        <f t="shared" si="10"/>
        <v>1</v>
      </c>
      <c r="EL15" s="149">
        <f t="shared" si="10"/>
        <v>1</v>
      </c>
      <c r="EM15" s="149" t="str">
        <f t="shared" si="10"/>
        <v>Durante el mes de abril fue emitido un (1) concepto jurídico de 1 solicitado a la Oficina Asesora de Jurídica, dando cumplimiento al 100% de lo solicitado</v>
      </c>
      <c r="EN15" s="149" t="str">
        <f t="shared" si="10"/>
        <v xml:space="preserve">Durante este mes  no se presentaron retrasos o dificultades para la expedición de los Conceptos solicitados a la OAJ </v>
      </c>
      <c r="EO15" s="149" t="str">
        <f t="shared" si="11"/>
        <v xml:space="preserve">orientar a todas las dependencias con el fin de prevenir el daño antijuridico </v>
      </c>
      <c r="EP15" s="149">
        <f t="shared" si="11"/>
        <v>1</v>
      </c>
      <c r="EQ15" s="149">
        <f t="shared" si="11"/>
        <v>1</v>
      </c>
      <c r="ER15" s="149" t="str">
        <f t="shared" si="11"/>
        <v>Durante el mes de mayo fue emitido un (1) concepto jurídico de 1 solicitado a la Oficina Asesora de Jurídica, dando cumplimiento al 100% de lo solicitado</v>
      </c>
      <c r="ES15" s="149" t="str">
        <f t="shared" si="11"/>
        <v xml:space="preserve">Durante este mes  no se presentaron retrasos o dificultades para la expedición de los Conceptos solicitados a la OAJ </v>
      </c>
      <c r="ET15" s="149" t="str">
        <f t="shared" si="11"/>
        <v xml:space="preserve">orientar a todas las dependencias con el fin de prevenir el daño antijuridico </v>
      </c>
      <c r="EU15" s="149">
        <f t="shared" si="11"/>
        <v>2</v>
      </c>
      <c r="EV15" s="149">
        <f t="shared" si="11"/>
        <v>2</v>
      </c>
      <c r="EW15" s="149" t="str">
        <f t="shared" si="11"/>
        <v>Durante el mes de junio fueron emitidos 2 conceptos jurídicos solicitados a la Oificna Asesora de Jurídica dentro del término establecido en el artículo 14 de la Ley 1437 de 2011 y el Decreto Nacional 491 de 2020</v>
      </c>
      <c r="EX15" s="149" t="str">
        <f t="shared" si="11"/>
        <v xml:space="preserve">Durante este mes no se presentaron retrasos en la expedición de los conceptos solicitados a la Oficina </v>
      </c>
      <c r="EY15" s="149" t="str">
        <f t="shared" si="11"/>
        <v xml:space="preserve">Orientar a todas las dependencias cuando eleven consultas a la Oficina Asesora de Jurídica, con el fin de prevenir un eventual daño antijuridico </v>
      </c>
      <c r="EZ15" s="149">
        <f t="shared" si="11"/>
        <v>11</v>
      </c>
      <c r="FA15" s="149">
        <f t="shared" si="11"/>
        <v>11</v>
      </c>
      <c r="FB15" s="149" t="str">
        <f t="shared" si="11"/>
        <v/>
      </c>
      <c r="FC15" s="149" t="str">
        <f t="shared" si="11"/>
        <v/>
      </c>
      <c r="FD15" s="149" t="str">
        <f t="shared" si="12"/>
        <v/>
      </c>
      <c r="FE15" s="149" t="str">
        <f t="shared" si="12"/>
        <v/>
      </c>
      <c r="FF15" s="149" t="str">
        <f t="shared" si="12"/>
        <v/>
      </c>
      <c r="FG15" s="149" t="str">
        <f t="shared" si="12"/>
        <v/>
      </c>
      <c r="FH15" s="149" t="str">
        <f t="shared" si="12"/>
        <v/>
      </c>
      <c r="FI15" s="149" t="str">
        <f t="shared" si="12"/>
        <v/>
      </c>
      <c r="FJ15" s="149" t="str">
        <f t="shared" si="12"/>
        <v/>
      </c>
      <c r="FK15" s="149" t="str">
        <f t="shared" si="12"/>
        <v/>
      </c>
      <c r="FL15" s="149" t="str">
        <f t="shared" si="12"/>
        <v/>
      </c>
      <c r="FM15" s="149" t="str">
        <f t="shared" si="12"/>
        <v/>
      </c>
      <c r="FN15" s="149" t="str">
        <f t="shared" si="13"/>
        <v/>
      </c>
      <c r="FO15" s="149" t="str">
        <f t="shared" si="13"/>
        <v/>
      </c>
      <c r="FP15" s="149" t="str">
        <f t="shared" si="13"/>
        <v/>
      </c>
      <c r="FQ15" s="149" t="str">
        <f t="shared" si="13"/>
        <v/>
      </c>
      <c r="FR15" s="149" t="str">
        <f t="shared" si="13"/>
        <v/>
      </c>
      <c r="FS15" s="149" t="str">
        <f t="shared" si="13"/>
        <v/>
      </c>
      <c r="FT15" s="149" t="str">
        <f t="shared" si="13"/>
        <v/>
      </c>
      <c r="FU15" s="149" t="str">
        <f t="shared" si="13"/>
        <v/>
      </c>
      <c r="FV15" s="149" t="str">
        <f t="shared" si="13"/>
        <v/>
      </c>
      <c r="FW15" s="149" t="str">
        <f t="shared" si="13"/>
        <v/>
      </c>
      <c r="FX15" s="149" t="str">
        <f t="shared" si="14"/>
        <v/>
      </c>
      <c r="FY15" s="149" t="str">
        <f t="shared" si="14"/>
        <v/>
      </c>
      <c r="FZ15" s="149" t="str">
        <f t="shared" si="14"/>
        <v/>
      </c>
      <c r="GA15" s="149" t="str">
        <f t="shared" si="14"/>
        <v/>
      </c>
      <c r="GB15" s="149" t="str">
        <f t="shared" si="14"/>
        <v/>
      </c>
      <c r="GC15" s="149" t="str">
        <f t="shared" si="14"/>
        <v/>
      </c>
      <c r="GD15" s="149" t="str">
        <f t="shared" si="14"/>
        <v/>
      </c>
      <c r="GE15" s="149" t="str">
        <f t="shared" si="14"/>
        <v/>
      </c>
      <c r="GF15" s="149">
        <f t="shared" si="33"/>
        <v>0</v>
      </c>
      <c r="GG15" s="149">
        <f t="shared" si="22"/>
        <v>1</v>
      </c>
      <c r="GH15" s="149">
        <f t="shared" si="23"/>
        <v>1</v>
      </c>
      <c r="GI15" s="149">
        <f t="shared" si="24"/>
        <v>1</v>
      </c>
      <c r="GJ15" s="149">
        <f t="shared" si="25"/>
        <v>1</v>
      </c>
      <c r="GK15" s="149">
        <f t="shared" si="34"/>
        <v>1</v>
      </c>
      <c r="GL15" s="149">
        <f t="shared" si="15"/>
        <v>0</v>
      </c>
      <c r="GM15" s="149">
        <f t="shared" si="16"/>
        <v>100</v>
      </c>
      <c r="GN15" s="149">
        <f t="shared" si="17"/>
        <v>100</v>
      </c>
      <c r="GO15" s="149">
        <f t="shared" si="18"/>
        <v>100</v>
      </c>
      <c r="GP15" s="149">
        <f t="shared" si="19"/>
        <v>100</v>
      </c>
      <c r="GQ15" s="149">
        <f t="shared" si="19"/>
        <v>100</v>
      </c>
      <c r="GR15" s="153">
        <f>+IF(DG15="Suma",SUM(GL15:GQ15),AVERAGEIF(GL15:GQ15,"&lt;&gt;0"))</f>
        <v>100</v>
      </c>
      <c r="GS15" s="149" t="str">
        <f>+IF(OR($A15=52,$A15=154),"",IFERROR(IF($X15="Creciente",IF($AB15="Número",SUM(GL15)/SUM(DO15)*($AX15-$AW15),SUM(GL15)/SUM(DO15))*($AX15-$AW15),IF(AND($DG15="Constante",$AB15="Porcentaje"),AVERAGEIF(GL15,"&lt;&gt;0")/AVERAGEIF(DO15,"&lt;&gt;0")*100,SUM(GL15)/SUM(DO15)*$DU15)),"No Programó"))</f>
        <v/>
      </c>
      <c r="GT15" s="149">
        <f>+IF(OR($A15=52,$A15=124),1,IFERROR(IF($X15="Creciente",IF($AB15="Número",SUM($GL15:GM15)/SUM($DO15:DP15)*($AX15-$AW15),SUM($GL15:GM15)/SUM($DO15:DP15))*($AX15-$AW15),IF($DG15="Creciente",GM15*GM15/GM15,IF(AND($DG15="Constante",$AB15="Porcentaje"),AVERAGEIF($GL15:GM15,"&lt;&gt;0")/AVERAGEIF($DO15:DP15,"&lt;&gt;0")*100,SUM($GL15:GM15)/SUM($DO15:DP15)*$DU15))),GS15))</f>
        <v>100</v>
      </c>
      <c r="GU15" s="149">
        <f>+IF(OR($A15=52,$A15=124),1,IFERROR(IF($X15="Creciente",IF($AB15="Número",SUM($GL15:GN15)/SUM($DO15:DQ15)*($AX15-$AW15),SUM($GL15:GN15)/SUM($DO15:DQ15))*($AX15-$AW15),IF($DG15="Creciente",GN15*GN15/GN15,IF(AND($DG15="Constante",$AB15="Porcentaje"),AVERAGEIF($GL15:GN15,"&lt;&gt;0")/AVERAGEIF($DO15:DQ15,"&lt;&gt;0")*100,SUM($GL15:GN15)/SUM($DO15:DQ15)*$DU15))),GT15))</f>
        <v>100</v>
      </c>
      <c r="GV15" s="149">
        <f>+IF(OR($A15=52,$A15=124),1,IFERROR(IF($X15="Creciente",IF($AB15="Número",SUM($GL15:GO15)/SUM($DO15:DR15)*($AX15-$AW15),SUM($GL15:GO15)/SUM($DO15:DR15))*($AX15-$AW15),IF($DG15="Creciente",GO15*GO15/GO15,IF(AND($DG15="Constante",$AB15="Porcentaje"),AVERAGEIF($GL15:GO15,"&lt;&gt;0")/AVERAGEIF($DO15:DR15,"&lt;&gt;0")*100,SUM($GL15:GO15)/SUM($DO15:DR15)*$DU15))),GU15))</f>
        <v>100</v>
      </c>
      <c r="GW15" s="149">
        <f>+IF(OR($A15=52,$A15=124),1,IFERROR(IF($X15="Creciente",IF($AB15="Número",SUM($GL15:GP15)/SUM($DO15:DS15)*($AX15-$AW15),SUM($GL15:GP15)/SUM($DO15:DS15))*($AX15-$AW15),IF($DG15="Creciente",GP15*GP15/GP15,IF(AND($DG15="Constante",$AB15="Porcentaje"),AVERAGEIF($GL15:GP15,"&lt;&gt;0")/AVERAGEIF($DO15:DS15,"&lt;&gt;0")*100,SUM($GL15:GP15)/SUM($DO15:DS15)*$DU15))),GV15))</f>
        <v>100</v>
      </c>
      <c r="GX15" s="149">
        <f>+IF(OR($A15=52,$A15=124),1,IFERROR(IF($X15="Creciente",IF($AB15="Número",SUM($GL15:GQ15)/SUM($DO15:DT15)*($AX15-$AW15),SUM($GL15:GQ15)/SUM($DO15:DT15))*($AX15-$AW15),IF($DG15="Creciente",GQ15*GQ15/GQ15,IF(AND($DG15="Constante",$AB15="Porcentaje"),AVERAGEIF($GL15:GQ15,"&lt;&gt;0")/AVERAGEIF($DO15:DT15,"&lt;&gt;0")*100,SUM($GL15:GQ15)/SUM($DO15:DT15)*$DU15))),GW15))</f>
        <v>100</v>
      </c>
      <c r="GY15" s="149" t="str">
        <f t="shared" si="28"/>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
      <c r="GZ15" s="149" t="str">
        <f t="shared" si="29"/>
        <v>Emitir conceptos jurídicos  para dar respuesta a las solicitudes y  orientar a las dependencias de la Secretaría General en aras de que sus actuaciones sean acordes al ordenamiento jurídico.</v>
      </c>
      <c r="HA15" s="149" t="str">
        <f t="shared" si="30"/>
        <v xml:space="preserve">Orientar a las diferentes dependencias con el fin de prevenir el daño antijuridico </v>
      </c>
      <c r="HB15" s="149" t="str">
        <f t="shared" si="31"/>
        <v>Base de datos en excel</v>
      </c>
      <c r="HC15" s="149" t="str">
        <f t="shared" si="20"/>
        <v>No aplica</v>
      </c>
      <c r="HD15" s="149" t="str">
        <f t="shared" si="20"/>
        <v>Cumplido</v>
      </c>
      <c r="HE15" s="149" t="str">
        <f t="shared" si="20"/>
        <v>Adecuado</v>
      </c>
      <c r="HF15" s="149" t="str">
        <f t="shared" si="20"/>
        <v>Coherente</v>
      </c>
      <c r="HG15" s="149" t="str">
        <f t="shared" si="20"/>
        <v>Concuerda</v>
      </c>
      <c r="HH15" s="149" t="str">
        <f t="shared" si="20"/>
        <v>Concuerda</v>
      </c>
      <c r="HI15" s="149" t="str">
        <f t="shared" si="20"/>
        <v>No aplica</v>
      </c>
      <c r="HJ15" s="149" t="str">
        <f t="shared" si="20"/>
        <v>Adecuado</v>
      </c>
      <c r="HK15" s="149" t="str">
        <f t="shared" si="20"/>
        <v>Oportuna</v>
      </c>
      <c r="HL15" s="149" t="str">
        <f t="shared" si="20"/>
        <v xml:space="preserve">El reporte del indicador es adecuado en términos de coherencia y consistencia. El indicador presenta un cumplimiento del 100% </v>
      </c>
      <c r="HM15" s="149" t="str">
        <f t="shared" si="21"/>
        <v>Jorge Ruiz</v>
      </c>
      <c r="HN15" s="149" t="str">
        <f t="shared" si="21"/>
        <v>Cumple</v>
      </c>
      <c r="HO15" s="149" t="str">
        <f t="shared" si="21"/>
        <v>Cumplido</v>
      </c>
      <c r="HP15" s="149" t="str">
        <f t="shared" si="21"/>
        <v>Adecuado</v>
      </c>
      <c r="HQ15" s="149" t="str">
        <f t="shared" si="21"/>
        <v>Coherente</v>
      </c>
      <c r="HR15" s="149" t="str">
        <f t="shared" si="21"/>
        <v>Concuerda</v>
      </c>
      <c r="HS15" s="149" t="str">
        <f t="shared" si="21"/>
        <v>Concuerda</v>
      </c>
      <c r="HT15" s="149" t="str">
        <f t="shared" si="21"/>
        <v>No aplica</v>
      </c>
      <c r="HU15" s="149" t="str">
        <f t="shared" si="21"/>
        <v>Adecuado</v>
      </c>
      <c r="HV15" s="149" t="str">
        <f t="shared" si="21"/>
        <v>Oportuna</v>
      </c>
      <c r="HW15" s="149" t="str">
        <f t="shared" si="21"/>
        <v xml:space="preserve">El reporte del indicador es adecuado en términos de coherencia y consistencia. El indicador presenta un cumplimiento del 100% </v>
      </c>
      <c r="HX15" s="149" t="str">
        <f t="shared" si="21"/>
        <v>Jorge Ruiz</v>
      </c>
    </row>
    <row r="16" spans="1:241" s="149" customFormat="1" x14ac:dyDescent="0.3">
      <c r="A16" s="145">
        <v>156</v>
      </c>
      <c r="B16" s="146" t="s">
        <v>1144</v>
      </c>
      <c r="C16" s="146" t="s">
        <v>1144</v>
      </c>
      <c r="D16" s="146" t="s">
        <v>1144</v>
      </c>
      <c r="E16" s="146" t="s">
        <v>1144</v>
      </c>
      <c r="F16" s="136" t="s">
        <v>1242</v>
      </c>
      <c r="G16" s="146" t="s">
        <v>1144</v>
      </c>
      <c r="H16" s="146" t="s">
        <v>1144</v>
      </c>
      <c r="I16" s="135" t="s">
        <v>1146</v>
      </c>
      <c r="J16" s="154" t="s">
        <v>155</v>
      </c>
      <c r="K16" s="154" t="s">
        <v>156</v>
      </c>
      <c r="L16" s="154" t="s">
        <v>157</v>
      </c>
      <c r="M16" s="154" t="s">
        <v>1201</v>
      </c>
      <c r="N16" s="154" t="s">
        <v>1222</v>
      </c>
      <c r="O16" s="154" t="s">
        <v>1223</v>
      </c>
      <c r="P16" s="148" t="s">
        <v>1242</v>
      </c>
      <c r="Q16" s="154" t="s">
        <v>1243</v>
      </c>
      <c r="R16" s="154" t="s">
        <v>1244</v>
      </c>
      <c r="S16" s="154" t="s">
        <v>1245</v>
      </c>
      <c r="T16" s="154" t="s">
        <v>1246</v>
      </c>
      <c r="U16" s="154" t="s">
        <v>1247</v>
      </c>
      <c r="V16" s="154" t="s">
        <v>1248</v>
      </c>
      <c r="W16" s="148" t="s">
        <v>601</v>
      </c>
      <c r="X16" s="154" t="s">
        <v>601</v>
      </c>
      <c r="Y16" s="154" t="s">
        <v>1249</v>
      </c>
      <c r="Z16" s="154" t="s">
        <v>1250</v>
      </c>
      <c r="AA16" s="154" t="s">
        <v>1232</v>
      </c>
      <c r="AB16" s="154" t="s">
        <v>602</v>
      </c>
      <c r="AC16" s="154" t="s">
        <v>1159</v>
      </c>
      <c r="AD16" s="154" t="s">
        <v>1160</v>
      </c>
      <c r="AE16" s="154">
        <v>2016</v>
      </c>
      <c r="AF16" s="154">
        <v>0</v>
      </c>
      <c r="AG16" s="154">
        <v>2016</v>
      </c>
      <c r="AH16" s="118" t="s">
        <v>1161</v>
      </c>
      <c r="AI16" s="154">
        <v>1</v>
      </c>
      <c r="AJ16" s="154">
        <v>1</v>
      </c>
      <c r="AK16" s="154">
        <v>1</v>
      </c>
      <c r="AL16" s="155">
        <v>100</v>
      </c>
      <c r="AM16" s="149">
        <v>0</v>
      </c>
      <c r="AN16" s="146" t="s">
        <v>1144</v>
      </c>
      <c r="AO16" s="146" t="s">
        <v>1144</v>
      </c>
      <c r="AP16" s="146" t="s">
        <v>1144</v>
      </c>
      <c r="AQ16" s="146" t="s">
        <v>1144</v>
      </c>
      <c r="AR16" s="146" t="s">
        <v>1144</v>
      </c>
      <c r="AS16" s="150" t="s">
        <v>1144</v>
      </c>
      <c r="AT16" s="229" t="s">
        <v>1161</v>
      </c>
      <c r="AU16" s="131">
        <v>100</v>
      </c>
      <c r="AV16" s="131">
        <v>100</v>
      </c>
      <c r="AW16" s="131">
        <v>100</v>
      </c>
      <c r="AX16" s="131">
        <v>100</v>
      </c>
      <c r="AY16" s="231">
        <v>0</v>
      </c>
      <c r="BD16" s="149">
        <v>0</v>
      </c>
      <c r="BJ16" s="146">
        <v>0</v>
      </c>
      <c r="BK16" s="146" t="s">
        <v>1144</v>
      </c>
      <c r="BL16" s="146" t="s">
        <v>1144</v>
      </c>
      <c r="BM16" s="146" t="s">
        <v>1144</v>
      </c>
      <c r="BN16" s="146" t="s">
        <v>1144</v>
      </c>
      <c r="BO16" s="146" t="s">
        <v>1144</v>
      </c>
      <c r="BP16" s="146" t="s">
        <v>1144</v>
      </c>
      <c r="BQ16" s="146" t="s">
        <v>1144</v>
      </c>
      <c r="BR16" s="146" t="s">
        <v>1144</v>
      </c>
      <c r="BS16" s="146" t="s">
        <v>1144</v>
      </c>
      <c r="BT16" s="146" t="s">
        <v>1144</v>
      </c>
      <c r="BU16" s="146" t="s">
        <v>1144</v>
      </c>
      <c r="BV16" s="146" t="s">
        <v>1144</v>
      </c>
      <c r="BW16" s="154" t="s">
        <v>1144</v>
      </c>
      <c r="BX16" s="154" t="s">
        <v>1144</v>
      </c>
      <c r="BY16" s="154" t="s">
        <v>1144</v>
      </c>
      <c r="BZ16" s="154">
        <v>1</v>
      </c>
      <c r="CA16" s="154" t="s">
        <v>1144</v>
      </c>
      <c r="CB16" s="154" t="s">
        <v>1144</v>
      </c>
      <c r="CC16" s="154" t="s">
        <v>1144</v>
      </c>
      <c r="CD16" s="154">
        <v>1</v>
      </c>
      <c r="CE16" s="154" t="s">
        <v>218</v>
      </c>
      <c r="CF16" s="154" t="s">
        <v>1144</v>
      </c>
      <c r="CG16" s="154" t="s">
        <v>1144</v>
      </c>
      <c r="CH16" s="154" t="s">
        <v>1144</v>
      </c>
      <c r="CI16" s="154" t="s">
        <v>1144</v>
      </c>
      <c r="CJ16" s="154" t="s">
        <v>1144</v>
      </c>
      <c r="CK16" s="154" t="s">
        <v>1144</v>
      </c>
      <c r="CL16" s="154" t="s">
        <v>1144</v>
      </c>
      <c r="CM16" s="154" t="s">
        <v>1144</v>
      </c>
      <c r="CN16" s="154" t="s">
        <v>1144</v>
      </c>
      <c r="CO16" s="154" t="s">
        <v>1144</v>
      </c>
      <c r="CP16" s="154">
        <v>1</v>
      </c>
      <c r="CQ16" s="154" t="s">
        <v>1144</v>
      </c>
      <c r="CR16" s="154" t="s">
        <v>1144</v>
      </c>
      <c r="CS16" s="154" t="s">
        <v>1144</v>
      </c>
      <c r="CT16" s="154" t="s">
        <v>1144</v>
      </c>
      <c r="CU16" s="154" t="s">
        <v>1144</v>
      </c>
      <c r="CV16" s="154" t="s">
        <v>1144</v>
      </c>
      <c r="CW16" s="154" t="s">
        <v>1144</v>
      </c>
      <c r="CX16" s="154" t="s">
        <v>1144</v>
      </c>
      <c r="CY16" s="154" t="s">
        <v>1144</v>
      </c>
      <c r="CZ16" s="154" t="s">
        <v>1144</v>
      </c>
      <c r="DA16" s="154" t="s">
        <v>1144</v>
      </c>
      <c r="DB16" s="152" t="str">
        <f>IF(BW16="No Aplica","",$BW$5)&amp;IF(BX16="No Aplica","",$BX$5)&amp;IF(BY16="No Aplica","",$BY$5)&amp;IF(BZ16="No Aplica","",$BZ$5)&amp;IF(CA16="No Aplica","",$CA$5)&amp;IF(CB16="No Aplica","",CB16&amp;" ")&amp;IF(CC16="No Aplica","",CC16&amp;", ")&amp;IF(CD16="No Aplica","",$CD$5)&amp;IF(CE16="No Aplica","",$CE$5&amp;CE16&amp;", ")&amp;IF(CF16="No Aplica","",$CF$5)&amp;IF(CG16="No Aplica","",$CG$5)&amp;IF(CH16="No Aplica","",$CH$5)&amp;IF(CI16="No Aplica","",$CI$5)&amp;IF(CJ16="No Aplica","",$CJ$5)&amp;IF(CK16="No Aplica","",$CK$5)&amp;IF(CL16="No Aplica","",$CL$5)&amp;IF(CM16="No Aplica","",$CM$5)&amp;IF(CN16="No Aplica","",$CN$5)&amp;IF(CO16="No Aplica","",$CO$5)&amp;IF(CP16="No Aplica","",$CP$5)&amp;IF(CQ16="No Aplica","",$CQ$5)&amp;IF(CR16="No Aplica","",$CR$5)&amp;IF(CS16="No Aplica","",$CS$5)&amp;IF(CT16="No Aplica","",$CT$5)&amp;IF(CU16="No Aplica","",$CU$5)&amp;IF(CV16="No Aplica","",$CV$5)&amp;IF(CW16="No Aplica","",CW16&amp;", ")&amp;IF(CX16="No Aplica","",$CX$5&amp;CX16&amp;", ")&amp;IF(CY16="No Aplica","",$CY$5)&amp;IF(CZ16="No Aplica","",$CZ$5)&amp;IF(DA16="No Aplica","",$DA$5)</f>
        <v xml:space="preserve">Plan de Acción, SGC, PROCESO: Gestión Jurídica, PLAN ESTRATÉGICO DE TALENTO HUMANO, </v>
      </c>
      <c r="DC16" s="149" t="str">
        <f t="shared" si="1"/>
        <v xml:space="preserve">El indicador pretende medir  la cantidad de Proyectos de Actos Administrativos revisados frente al número de solicitudes de revisión de Proyectos de  Actos Administrativos </v>
      </c>
      <c r="DD16" s="149" t="str">
        <f t="shared" si="1"/>
        <v>Revisar los Proyectos de actos administrativos  de la Secretaría General, solicitados a la Oficina Asesora de Jurídica,  verificando que se ajusten al ordenamiento jurídico y a los propósitos de los mismos</v>
      </c>
      <c r="DE16" s="149" t="str">
        <f t="shared" si="1"/>
        <v xml:space="preserve">Prestar apoyo juridico a todas las dependencias con el fin de prevenir el daño antijuridico </v>
      </c>
      <c r="DF16" s="149" t="str">
        <f t="shared" si="1"/>
        <v>Base de datos en excel</v>
      </c>
      <c r="DG16" s="149" t="str">
        <f t="shared" si="1"/>
        <v>Constante</v>
      </c>
      <c r="DH16" s="149" t="str">
        <f t="shared" si="2"/>
        <v/>
      </c>
      <c r="DI16" s="149">
        <f t="shared" si="3"/>
        <v>100</v>
      </c>
      <c r="DJ16" s="149">
        <f t="shared" si="4"/>
        <v>100</v>
      </c>
      <c r="DK16" s="149">
        <f t="shared" si="5"/>
        <v>100</v>
      </c>
      <c r="DL16" s="149">
        <f t="shared" si="6"/>
        <v>100</v>
      </c>
      <c r="DM16" s="149">
        <f t="shared" si="7"/>
        <v>100</v>
      </c>
      <c r="DN16" s="149">
        <f t="shared" si="36"/>
        <v>100</v>
      </c>
      <c r="DO16" s="149">
        <f t="shared" ref="DO16:DT26" si="38">+IF(AND($X16="Constante",$DG16="Constante"),$DU16,IF(AND($AB16="Porcentaje",$X16="Creciente",$DG16="Suma",$AW16&lt;&gt;"No Disponible / No Aplica",IFERROR($AX16-$AW16,0)&gt;0),VLOOKUP($A16,consolidado,MATCH(DO$5,consolidadofila,0),0)/$DH16*$AX16*($AX16-$AW16)/$AX16,IF(AND($AB16="Porcentaje",$X16="Creciente",,$AW16&lt;&gt;"No Disponible / No Aplica",IFERROR($AX16-$AW16,0)&gt;0,OR($DG16="Constante",$DG16="Creciente")),VLOOKUP($A16,consolidado,MATCH(DO$5,consolidadofila,0),0)*($AX16-$AW16)/$AX16,IF(AND($AB16="Número",$X16="Creciente"),VLOOKUP($A16,consolidado,MATCH(DO$5,consolidadofila,0),0),IF(AND($AB16="Porcentaje",$DG16="Suma"),VLOOKUP($A16,consolidado,MATCH(DO$5,consolidadofila,0),0)/$DH16*$AX16,IF(AND($AB16="Porcentaje",OR($DG16="Constante",$DG16="Creciente")),VLOOKUP($A16,consolidado,MATCH(DO$5,consolidadofila,0),0),IF($AB16="Número",VLOOKUP($A16,consolidado,MATCH(DO$5,consolidadofila,0),0))))))))</f>
        <v>100</v>
      </c>
      <c r="DP16" s="149">
        <f t="shared" si="38"/>
        <v>100</v>
      </c>
      <c r="DQ16" s="149">
        <f t="shared" si="38"/>
        <v>100</v>
      </c>
      <c r="DR16" s="149">
        <f t="shared" si="38"/>
        <v>100</v>
      </c>
      <c r="DS16" s="149">
        <f t="shared" si="38"/>
        <v>100</v>
      </c>
      <c r="DT16" s="149">
        <f t="shared" si="38"/>
        <v>100</v>
      </c>
      <c r="DU16" s="149">
        <f t="shared" si="9"/>
        <v>100</v>
      </c>
      <c r="DV16" s="149">
        <f t="shared" si="9"/>
        <v>301</v>
      </c>
      <c r="DW16" s="149">
        <f t="shared" si="9"/>
        <v>301</v>
      </c>
      <c r="DX16" s="149" t="str">
        <f t="shared" si="9"/>
        <v xml:space="preserve">Durante el mes de enero se revisaron trescientos un (301) Proyectos de actos administrativos de los 301 solicitados a la Oficina Asesora de Jurídica, dando cumplimiento al 100% de lo solicitado. </v>
      </c>
      <c r="DY16" s="149" t="str">
        <f t="shared" si="9"/>
        <v xml:space="preserve">Durante el mes no hubo retrasos o dificultades para el cumplimiento de la meta en la generación del producto </v>
      </c>
      <c r="DZ16" s="149" t="str">
        <f t="shared" si="9"/>
        <v xml:space="preserve">Prestar apoyo juridico a todas las dependencias con el fin de prevenir el daño antijuridico </v>
      </c>
      <c r="EA16" s="149">
        <f t="shared" si="9"/>
        <v>186</v>
      </c>
      <c r="EB16" s="149">
        <f t="shared" si="9"/>
        <v>186</v>
      </c>
      <c r="EC16" s="149" t="str">
        <f t="shared" si="9"/>
        <v xml:space="preserve">Durante el mes de febrero se revisaron ciento ochenta y seis (186) Proyectos de actos administrativos de los 186 solicitados a la Oficina Asesora de Jurídica, dando cumplimiento al 100% de lo solicitado. </v>
      </c>
      <c r="ED16" s="149" t="str">
        <f t="shared" si="9"/>
        <v xml:space="preserve">Durante el mes no hubo retrasos o dificultades para el cumplimiento de la meta en la generación del producto </v>
      </c>
      <c r="EE16" s="149" t="str">
        <f t="shared" si="10"/>
        <v xml:space="preserve">Prestar apoyo juridico a todas las dependencias con el fin de prevenir el daño antijuridico </v>
      </c>
      <c r="EF16" s="149">
        <f t="shared" si="10"/>
        <v>144</v>
      </c>
      <c r="EG16" s="149">
        <f t="shared" si="10"/>
        <v>144</v>
      </c>
      <c r="EH16" s="149" t="str">
        <f t="shared" si="10"/>
        <v xml:space="preserve">Durante el mes de marzo se revisaron ciento cuarenta y cuatro (144) Proyectos de actos administrativos de los 144 solicitados a la Oficina Asesora de Jurídica, dando cumplimiento al 100% de lo solicitado. </v>
      </c>
      <c r="EI16" s="149" t="str">
        <f t="shared" si="10"/>
        <v xml:space="preserve">Durante el mes no hubo retrasos o dificultades para el cumplimiento de la meta en la generación del producto </v>
      </c>
      <c r="EJ16" s="149" t="str">
        <f t="shared" si="10"/>
        <v xml:space="preserve">Prestar apoyo juridico a todas las dependencias con el fin de prevenir el daño antijuridico </v>
      </c>
      <c r="EK16" s="149">
        <f t="shared" si="10"/>
        <v>86</v>
      </c>
      <c r="EL16" s="149">
        <f t="shared" si="10"/>
        <v>86</v>
      </c>
      <c r="EM16" s="149" t="str">
        <f t="shared" si="10"/>
        <v xml:space="preserve">Durante el mes de abril se revisaron ochenta y seis (86) Proyectos de actos administrativos de los 86 solicitados a la Oficina Asesora de Jurídica, dando cumplimiento al 100% de lo solicitado. </v>
      </c>
      <c r="EN16" s="149" t="str">
        <f t="shared" si="10"/>
        <v xml:space="preserve">Durante el mes no hubo retrasos o dificultades para el cumplimiento de la meta en la generación del producto </v>
      </c>
      <c r="EO16" s="149" t="str">
        <f t="shared" si="11"/>
        <v xml:space="preserve">Prestar apoyo juridico a todas las dependencias con el fin de prevenir el daño antijuridico </v>
      </c>
      <c r="EP16" s="149">
        <f t="shared" si="11"/>
        <v>45</v>
      </c>
      <c r="EQ16" s="149">
        <f t="shared" si="11"/>
        <v>45</v>
      </c>
      <c r="ER16" s="149" t="str">
        <f t="shared" si="11"/>
        <v xml:space="preserve">Durante el mes de mayo se revisaron cuarenta y cinco (45) Proyectos de actos administrativos de los 45 solicitados a la Oficina Asesora de Jurídica, dando cumplimiento al 100% de lo solicitado. </v>
      </c>
      <c r="ES16" s="149" t="str">
        <f t="shared" si="11"/>
        <v xml:space="preserve">Durante el mes no hubo retrasos o dificultades para el cumplimiento de la meta en la generación del producto </v>
      </c>
      <c r="ET16" s="149" t="str">
        <f t="shared" si="11"/>
        <v xml:space="preserve">Prestar apoyo juridico a todas las dependencias con el fin de prevenir el daño antijuridico </v>
      </c>
      <c r="EU16" s="149">
        <f t="shared" si="11"/>
        <v>58</v>
      </c>
      <c r="EV16" s="149">
        <f t="shared" si="11"/>
        <v>58</v>
      </c>
      <c r="EW16" s="149" t="str">
        <f t="shared" si="11"/>
        <v xml:space="preserve">Durante el mes de junio se analizó la viabilidad jurídica de 58 proyectos de actos administrativos, de acuerdo a la solicitud que hacen las demás dependencias de la Secretaría General a la Oficina Asesora de Jurídica </v>
      </c>
      <c r="EX16" s="149" t="str">
        <f t="shared" si="11"/>
        <v xml:space="preserve">Durante el mes de junio no se presentaron retrasos que impidieran la entrega oportuna del estudio jurídico de los proyectos de actos administrativos analizados </v>
      </c>
      <c r="EY16" s="149" t="str">
        <f t="shared" si="11"/>
        <v xml:space="preserve">Prestar apoyo juridico a todas las dependencias, cuando requieran por parte de la Oficina Asesora de Jurídica el análisis jurídico de proyectos de actos administrativos,  con el fin de prevenir el daño antijuridico </v>
      </c>
      <c r="EZ16" s="149">
        <f t="shared" si="11"/>
        <v>820</v>
      </c>
      <c r="FA16" s="149">
        <f t="shared" si="11"/>
        <v>820</v>
      </c>
      <c r="FB16" s="149" t="str">
        <f t="shared" si="11"/>
        <v/>
      </c>
      <c r="FC16" s="149" t="str">
        <f t="shared" si="11"/>
        <v/>
      </c>
      <c r="FD16" s="149" t="str">
        <f t="shared" si="12"/>
        <v/>
      </c>
      <c r="FE16" s="149" t="str">
        <f t="shared" si="12"/>
        <v/>
      </c>
      <c r="FF16" s="149" t="str">
        <f t="shared" si="12"/>
        <v/>
      </c>
      <c r="FG16" s="149" t="str">
        <f t="shared" si="12"/>
        <v/>
      </c>
      <c r="FH16" s="149" t="str">
        <f t="shared" si="12"/>
        <v/>
      </c>
      <c r="FI16" s="149" t="str">
        <f t="shared" si="12"/>
        <v/>
      </c>
      <c r="FJ16" s="149" t="str">
        <f t="shared" si="12"/>
        <v/>
      </c>
      <c r="FK16" s="149" t="str">
        <f t="shared" si="12"/>
        <v/>
      </c>
      <c r="FL16" s="149" t="str">
        <f t="shared" si="12"/>
        <v/>
      </c>
      <c r="FM16" s="149" t="str">
        <f t="shared" si="12"/>
        <v/>
      </c>
      <c r="FN16" s="149" t="str">
        <f t="shared" si="13"/>
        <v/>
      </c>
      <c r="FO16" s="149" t="str">
        <f t="shared" si="13"/>
        <v/>
      </c>
      <c r="FP16" s="149" t="str">
        <f t="shared" si="13"/>
        <v/>
      </c>
      <c r="FQ16" s="149" t="str">
        <f t="shared" si="13"/>
        <v/>
      </c>
      <c r="FR16" s="149" t="str">
        <f t="shared" si="13"/>
        <v/>
      </c>
      <c r="FS16" s="149" t="str">
        <f t="shared" si="13"/>
        <v/>
      </c>
      <c r="FT16" s="149" t="str">
        <f t="shared" si="13"/>
        <v/>
      </c>
      <c r="FU16" s="149" t="str">
        <f t="shared" si="13"/>
        <v/>
      </c>
      <c r="FV16" s="149" t="str">
        <f t="shared" si="13"/>
        <v/>
      </c>
      <c r="FW16" s="149" t="str">
        <f t="shared" si="13"/>
        <v/>
      </c>
      <c r="FX16" s="149" t="str">
        <f t="shared" si="14"/>
        <v/>
      </c>
      <c r="FY16" s="149" t="str">
        <f t="shared" si="14"/>
        <v/>
      </c>
      <c r="FZ16" s="149" t="str">
        <f t="shared" si="14"/>
        <v/>
      </c>
      <c r="GA16" s="149" t="str">
        <f t="shared" si="14"/>
        <v/>
      </c>
      <c r="GB16" s="149" t="str">
        <f t="shared" si="14"/>
        <v/>
      </c>
      <c r="GC16" s="149" t="str">
        <f t="shared" si="14"/>
        <v/>
      </c>
      <c r="GD16" s="149" t="str">
        <f t="shared" si="14"/>
        <v/>
      </c>
      <c r="GE16" s="149" t="str">
        <f t="shared" si="14"/>
        <v/>
      </c>
      <c r="GF16" s="149">
        <f t="shared" si="33"/>
        <v>1</v>
      </c>
      <c r="GG16" s="149">
        <f t="shared" si="22"/>
        <v>1</v>
      </c>
      <c r="GH16" s="149">
        <f t="shared" si="23"/>
        <v>1</v>
      </c>
      <c r="GI16" s="149">
        <f t="shared" si="24"/>
        <v>1</v>
      </c>
      <c r="GJ16" s="149">
        <f t="shared" si="25"/>
        <v>1</v>
      </c>
      <c r="GK16" s="149">
        <f t="shared" si="34"/>
        <v>1</v>
      </c>
      <c r="GL16" s="149">
        <f t="shared" si="15"/>
        <v>100</v>
      </c>
      <c r="GM16" s="149">
        <f t="shared" si="16"/>
        <v>100</v>
      </c>
      <c r="GN16" s="149">
        <f t="shared" si="17"/>
        <v>100</v>
      </c>
      <c r="GO16" s="149">
        <f t="shared" si="18"/>
        <v>100</v>
      </c>
      <c r="GP16" s="149">
        <f t="shared" si="19"/>
        <v>100</v>
      </c>
      <c r="GQ16" s="149">
        <f t="shared" si="19"/>
        <v>100</v>
      </c>
      <c r="GR16" s="153">
        <f>+IF(DG16="Suma",SUM(GL16:GQ16),AVERAGE(GL16:GQ16))</f>
        <v>100</v>
      </c>
      <c r="GS16" s="149">
        <f t="shared" si="37"/>
        <v>100</v>
      </c>
      <c r="GT16" s="149">
        <f>+IF(OR($A16=52,$A16=124),1,IFERROR(IF($X16="Creciente",IF($AB16="Número",SUM($GL16:GM16)/SUM($DO16:DP16)*($AX16-$AW16),SUM($GL16:GM16)/SUM($DO16:DP16))*($AX16-$AW16),IF($DG16="Creciente",GM16*GM16/GM16,IF(AND($DG16="Constante",$AB16="Porcentaje"),AVERAGEIF($GL16:GM16,"&lt;&gt;0")/AVERAGEIF($DO16:DP16,"&lt;&gt;0")*100,SUM($GL16:GM16)/SUM($DO16:DP16)*$DU16))),GS16))</f>
        <v>100</v>
      </c>
      <c r="GU16" s="149">
        <f>+IF(OR($A16=52,$A16=124),1,IFERROR(IF($X16="Creciente",IF($AB16="Número",SUM($GL16:GN16)/SUM($DO16:DQ16)*($AX16-$AW16),SUM($GL16:GN16)/SUM($DO16:DQ16))*($AX16-$AW16),IF($DG16="Creciente",GN16*GN16/GN16,IF(AND($DG16="Constante",$AB16="Porcentaje"),AVERAGEIF($GL16:GN16,"&lt;&gt;0")/AVERAGEIF($DO16:DQ16,"&lt;&gt;0")*100,SUM($GL16:GN16)/SUM($DO16:DQ16)*$DU16))),GT16))</f>
        <v>100</v>
      </c>
      <c r="GV16" s="149">
        <f>+IF(OR($A16=52,$A16=124),1,IFERROR(IF($X16="Creciente",IF($AB16="Número",SUM($GL16:GO16)/SUM($DO16:DR16)*($AX16-$AW16),SUM($GL16:GO16)/SUM($DO16:DR16))*($AX16-$AW16),IF($DG16="Creciente",GO16*GO16/GO16,IF(AND($DG16="Constante",$AB16="Porcentaje"),AVERAGEIF($GL16:GO16,"&lt;&gt;0")/AVERAGEIF($DO16:DR16,"&lt;&gt;0")*100,SUM($GL16:GO16)/SUM($DO16:DR16)*$DU16))),GU16))</f>
        <v>100</v>
      </c>
      <c r="GW16" s="149">
        <f>+IF(OR($A16=52,$A16=124),1,IFERROR(IF($X16="Creciente",IF($AB16="Número",SUM($GL16:GP16)/SUM($DO16:DS16)*($AX16-$AW16),SUM($GL16:GP16)/SUM($DO16:DS16))*($AX16-$AW16),IF($DG16="Creciente",GP16*GP16/GP16,IF(AND($DG16="Constante",$AB16="Porcentaje"),AVERAGEIF($GL16:GP16,"&lt;&gt;0")/AVERAGEIF($DO16:DS16,"&lt;&gt;0")*100,SUM($GL16:GP16)/SUM($DO16:DS16)*$DU16))),GV16))</f>
        <v>100</v>
      </c>
      <c r="GX16" s="149">
        <f>+IF(OR($A16=52,$A16=124),1,IFERROR(IF($X16="Creciente",IF($AB16="Número",SUM($GL16:GQ16)/SUM($DO16:DT16)*($AX16-$AW16),SUM($GL16:GQ16)/SUM($DO16:DT16))*($AX16-$AW16),IF($DG16="Creciente",GQ16*GQ16/GQ16,IF(AND($DG16="Constante",$AB16="Porcentaje"),AVERAGEIF($GL16:GQ16,"&lt;&gt;0")/AVERAGEIF($DO16:DT16,"&lt;&gt;0")*100,SUM($GL16:GQ16)/SUM($DO16:DT16)*$DU16))),GW16))</f>
        <v>100</v>
      </c>
      <c r="GY16" s="149" t="str">
        <f t="shared" si="28"/>
        <v xml:space="preserve">El indicador pretende medir  la cantidad de Proyectos de Actos Administrativos revisados frente al número de solicitudes de revisión de Proyectos de  Actos Administrativos </v>
      </c>
      <c r="GZ16" s="149" t="str">
        <f t="shared" si="29"/>
        <v>Revisar los Proyectos de actos administrativos  de la Secretaría General, solicitados a la Oficina Asesora de Jurídica,  verificando que se ajusten al ordenamiento jurídico y a los propósitos de los mismos</v>
      </c>
      <c r="HA16" s="149" t="str">
        <f t="shared" si="30"/>
        <v xml:space="preserve">Prestar apoyo juridico a todas las dependencias con el fin de prevenir el daño antijuridico </v>
      </c>
      <c r="HB16" s="149" t="str">
        <f t="shared" si="31"/>
        <v>Base de datos en excel</v>
      </c>
      <c r="HC16" s="149" t="str">
        <f t="shared" ref="HC16:HL25" si="39">+VLOOKUP($A16,consolidado,MATCH(HC$5,consolidadofila,0),0)</f>
        <v>No aplica</v>
      </c>
      <c r="HD16" s="149" t="str">
        <f t="shared" si="39"/>
        <v>Cumplido</v>
      </c>
      <c r="HE16" s="149" t="str">
        <f t="shared" si="39"/>
        <v>Adecuado</v>
      </c>
      <c r="HF16" s="149" t="str">
        <f t="shared" si="39"/>
        <v>Coherente</v>
      </c>
      <c r="HG16" s="149" t="str">
        <f t="shared" si="39"/>
        <v>Concuerda</v>
      </c>
      <c r="HH16" s="149" t="str">
        <f t="shared" si="39"/>
        <v>Concuerda</v>
      </c>
      <c r="HI16" s="149" t="str">
        <f t="shared" si="39"/>
        <v>No aplica</v>
      </c>
      <c r="HJ16" s="149" t="str">
        <f t="shared" si="39"/>
        <v>Adecuado</v>
      </c>
      <c r="HK16" s="149" t="str">
        <f t="shared" si="39"/>
        <v>Oportuna</v>
      </c>
      <c r="HL16" s="149" t="str">
        <f t="shared" si="39"/>
        <v xml:space="preserve">El reporte del indicador es adecuado en términos de coherencia y consistencia. El indicador presenta un cumplimiento del 100% </v>
      </c>
      <c r="HM16" s="149" t="str">
        <f t="shared" ref="HM16:HX25" si="40">+VLOOKUP($A16,consolidado,MATCH(HM$5,consolidadofila,0),0)</f>
        <v>Jorge Ruiz</v>
      </c>
      <c r="HN16" s="149" t="str">
        <f t="shared" si="40"/>
        <v>Cumple</v>
      </c>
      <c r="HO16" s="149" t="str">
        <f t="shared" si="40"/>
        <v>Cumplido</v>
      </c>
      <c r="HP16" s="149" t="str">
        <f t="shared" si="40"/>
        <v>Adecuado</v>
      </c>
      <c r="HQ16" s="149" t="str">
        <f t="shared" si="40"/>
        <v>Coherente</v>
      </c>
      <c r="HR16" s="149" t="str">
        <f t="shared" si="40"/>
        <v>Concuerda</v>
      </c>
      <c r="HS16" s="149" t="str">
        <f t="shared" si="40"/>
        <v>Concuerda</v>
      </c>
      <c r="HT16" s="149" t="str">
        <f t="shared" si="40"/>
        <v>No aplica</v>
      </c>
      <c r="HU16" s="149" t="str">
        <f t="shared" si="40"/>
        <v>Adecuado</v>
      </c>
      <c r="HV16" s="149" t="str">
        <f t="shared" si="40"/>
        <v>Oportuna</v>
      </c>
      <c r="HW16" s="149" t="str">
        <f t="shared" si="40"/>
        <v xml:space="preserve">El reporte del indicador es adecuado en términos de coherencia y consistencia. El indicador presenta un cumplimiento del 100% </v>
      </c>
      <c r="HX16" s="149" t="str">
        <f t="shared" si="40"/>
        <v>Jorge Ruiz</v>
      </c>
    </row>
    <row r="17" spans="1:241" s="149" customFormat="1" x14ac:dyDescent="0.3">
      <c r="A17" s="145">
        <v>159</v>
      </c>
      <c r="B17" s="146" t="s">
        <v>1144</v>
      </c>
      <c r="C17" s="146" t="s">
        <v>1144</v>
      </c>
      <c r="D17" s="146" t="s">
        <v>1144</v>
      </c>
      <c r="E17" s="146" t="s">
        <v>1144</v>
      </c>
      <c r="F17" s="136" t="s">
        <v>1251</v>
      </c>
      <c r="G17" s="146" t="s">
        <v>1144</v>
      </c>
      <c r="H17" s="146" t="s">
        <v>1144</v>
      </c>
      <c r="I17" s="135" t="s">
        <v>1146</v>
      </c>
      <c r="J17" s="154" t="s">
        <v>155</v>
      </c>
      <c r="K17" s="154" t="s">
        <v>156</v>
      </c>
      <c r="L17" s="154" t="s">
        <v>157</v>
      </c>
      <c r="M17" s="154" t="s">
        <v>1201</v>
      </c>
      <c r="N17" s="154" t="s">
        <v>1222</v>
      </c>
      <c r="O17" s="154" t="s">
        <v>1223</v>
      </c>
      <c r="P17" s="148" t="s">
        <v>1251</v>
      </c>
      <c r="Q17" s="154" t="s">
        <v>1252</v>
      </c>
      <c r="R17" s="154" t="s">
        <v>1253</v>
      </c>
      <c r="S17" s="154" t="s">
        <v>1254</v>
      </c>
      <c r="T17" s="154" t="s">
        <v>1255</v>
      </c>
      <c r="U17" s="154" t="s">
        <v>1256</v>
      </c>
      <c r="V17" s="154" t="s">
        <v>1257</v>
      </c>
      <c r="W17" s="148" t="s">
        <v>601</v>
      </c>
      <c r="X17" s="154" t="s">
        <v>601</v>
      </c>
      <c r="Y17" s="154" t="s">
        <v>1258</v>
      </c>
      <c r="Z17" s="154" t="s">
        <v>1259</v>
      </c>
      <c r="AA17" s="154" t="s">
        <v>1232</v>
      </c>
      <c r="AB17" s="154" t="s">
        <v>602</v>
      </c>
      <c r="AC17" s="154" t="s">
        <v>1159</v>
      </c>
      <c r="AD17" s="154" t="s">
        <v>1160</v>
      </c>
      <c r="AE17" s="154">
        <v>2016</v>
      </c>
      <c r="AF17" s="154">
        <v>0</v>
      </c>
      <c r="AG17" s="154">
        <v>2016</v>
      </c>
      <c r="AH17" s="118" t="s">
        <v>1161</v>
      </c>
      <c r="AI17" s="154">
        <v>1</v>
      </c>
      <c r="AJ17" s="154">
        <v>1</v>
      </c>
      <c r="AK17" s="154">
        <v>1</v>
      </c>
      <c r="AL17" s="155">
        <v>100</v>
      </c>
      <c r="AM17" s="149">
        <v>0</v>
      </c>
      <c r="AN17" s="146" t="s">
        <v>1144</v>
      </c>
      <c r="AO17" s="146" t="s">
        <v>1144</v>
      </c>
      <c r="AP17" s="146" t="s">
        <v>1144</v>
      </c>
      <c r="AQ17" s="146" t="s">
        <v>1144</v>
      </c>
      <c r="AR17" s="146" t="s">
        <v>1144</v>
      </c>
      <c r="AS17" s="150" t="s">
        <v>1144</v>
      </c>
      <c r="AT17" s="229" t="s">
        <v>1161</v>
      </c>
      <c r="AU17" s="131">
        <v>100</v>
      </c>
      <c r="AV17" s="131">
        <v>100</v>
      </c>
      <c r="AW17" s="131">
        <v>100</v>
      </c>
      <c r="AX17" s="131">
        <v>100</v>
      </c>
      <c r="AY17" s="231">
        <v>0</v>
      </c>
      <c r="BD17" s="149">
        <v>0</v>
      </c>
      <c r="BJ17" s="146">
        <v>0</v>
      </c>
      <c r="BK17" s="146" t="s">
        <v>1144</v>
      </c>
      <c r="BL17" s="146" t="s">
        <v>1144</v>
      </c>
      <c r="BM17" s="146" t="s">
        <v>1144</v>
      </c>
      <c r="BN17" s="146" t="s">
        <v>1144</v>
      </c>
      <c r="BO17" s="146" t="s">
        <v>1144</v>
      </c>
      <c r="BP17" s="146" t="s">
        <v>1144</v>
      </c>
      <c r="BQ17" s="146" t="s">
        <v>1144</v>
      </c>
      <c r="BR17" s="146" t="s">
        <v>1144</v>
      </c>
      <c r="BS17" s="146" t="s">
        <v>1144</v>
      </c>
      <c r="BT17" s="146" t="s">
        <v>1144</v>
      </c>
      <c r="BU17" s="146" t="s">
        <v>1144</v>
      </c>
      <c r="BV17" s="146" t="s">
        <v>1144</v>
      </c>
      <c r="BW17" s="154" t="s">
        <v>1144</v>
      </c>
      <c r="BX17" s="154" t="s">
        <v>1144</v>
      </c>
      <c r="BY17" s="154" t="s">
        <v>1144</v>
      </c>
      <c r="BZ17" s="154">
        <v>1</v>
      </c>
      <c r="CA17" s="154" t="s">
        <v>1144</v>
      </c>
      <c r="CB17" s="154" t="s">
        <v>1144</v>
      </c>
      <c r="CC17" s="154" t="s">
        <v>1144</v>
      </c>
      <c r="CD17" s="154">
        <v>1</v>
      </c>
      <c r="CE17" s="154" t="s">
        <v>218</v>
      </c>
      <c r="CF17" s="154" t="s">
        <v>1144</v>
      </c>
      <c r="CG17" s="154" t="s">
        <v>1144</v>
      </c>
      <c r="CH17" s="154" t="s">
        <v>1144</v>
      </c>
      <c r="CI17" s="154" t="s">
        <v>1144</v>
      </c>
      <c r="CJ17" s="154" t="s">
        <v>1144</v>
      </c>
      <c r="CK17" s="154" t="s">
        <v>1144</v>
      </c>
      <c r="CL17" s="154" t="s">
        <v>1144</v>
      </c>
      <c r="CM17" s="154" t="s">
        <v>1144</v>
      </c>
      <c r="CN17" s="154" t="s">
        <v>1144</v>
      </c>
      <c r="CO17" s="154" t="s">
        <v>1144</v>
      </c>
      <c r="CP17" s="154">
        <v>1</v>
      </c>
      <c r="CQ17" s="154">
        <v>1</v>
      </c>
      <c r="CR17" s="154" t="s">
        <v>1144</v>
      </c>
      <c r="CS17" s="154" t="s">
        <v>1144</v>
      </c>
      <c r="CT17" s="154" t="s">
        <v>1144</v>
      </c>
      <c r="CU17" s="154" t="s">
        <v>1144</v>
      </c>
      <c r="CV17" s="154" t="s">
        <v>1144</v>
      </c>
      <c r="CW17" s="154" t="s">
        <v>1144</v>
      </c>
      <c r="CX17" s="154" t="s">
        <v>1144</v>
      </c>
      <c r="CY17" s="154" t="s">
        <v>1144</v>
      </c>
      <c r="CZ17" s="154" t="s">
        <v>1144</v>
      </c>
      <c r="DA17" s="154" t="s">
        <v>1144</v>
      </c>
      <c r="DB17" s="152" t="str">
        <f>IF(BW17="No Aplica","",$BW$5)&amp;IF(BX17="No Aplica","",$BX$5)&amp;IF(BY17="No Aplica","",$BY$5)&amp;IF(BZ17="No Aplica","",$BZ$5)&amp;IF(CA17="No Aplica","",$CA$5)&amp;IF(CB17="No Aplica","",CB17&amp;" ")&amp;IF(CC17="No Aplica","",CC17&amp;", ")&amp;IF(CD17="No Aplica","",$CD$5)&amp;IF(CE17="No Aplica","",$CE$5&amp;CE17&amp;", ")&amp;IF(CF17="No Aplica","",$CF$5)&amp;IF(CG17="No Aplica","",$CG$5)&amp;IF(CH17="No Aplica","",$CH$5)&amp;IF(CI17="No Aplica","",$CI$5)&amp;IF(CJ17="No Aplica","",$CJ$5)&amp;IF(CK17="No Aplica","",$CK$5)&amp;IF(CL17="No Aplica","",$CL$5)&amp;IF(CM17="No Aplica","",$CM$5)&amp;IF(CN17="No Aplica","",$CN$5)&amp;IF(CO17="No Aplica","",$CO$5)&amp;IF(CP17="No Aplica","",$CP$5)&amp;IF(CQ17="No Aplica","",$CQ$5)&amp;IF(CR17="No Aplica","",$CR$5)&amp;IF(CS17="No Aplica","",$CS$5)&amp;IF(CT17="No Aplica","",$CT$5)&amp;IF(CU17="No Aplica","",$CU$5)&amp;IF(CV17="No Aplica","",$CV$5)&amp;IF(CW17="No Aplica","",CW17&amp;", ")&amp;IF(CX17="No Aplica","",$CX$5&amp;CX17&amp;", ")&amp;IF(CY17="No Aplica","",$CY$5)&amp;IF(CZ17="No Aplica","",$CZ$5)&amp;IF(DA17="No Aplica","",$DA$5)</f>
        <v xml:space="preserve">Plan de Acción, SGC, PROCESO: Gestión Jurídica, PLAN ESTRATÉGICO DE TALENTO HUMANO, PLAN INSTITUCIONAL DE CAPACITACIÓN, </v>
      </c>
      <c r="DC17" s="149" t="str">
        <f t="shared" ref="DC17:DG27" si="41">+VLOOKUP($A17,consolidado,MATCH(DC$5,consolidadofila,0),0)</f>
        <v>El indicador mide la cantidad de requerimientos, frente a los procesos judiciales y trámites extrajudiciales,  las cuales deben responderse dentro del término que otorga la ley para cada caso en especial.</v>
      </c>
      <c r="DD17" s="149" t="str">
        <f t="shared" si="41"/>
        <v>Responder oportuna y eficazmente los requerimientos generados con ocasión del desarrollo de los procesos judiciales y trámites extrajudiciales en los que sea parte la Secretaría General.</v>
      </c>
      <c r="DE17" s="149" t="str">
        <f t="shared" si="41"/>
        <v>Obtener resultados favorables para la entidad en los procesos judiciales y extrajudiciales y evitar el pago de condenas.</v>
      </c>
      <c r="DF17" s="149" t="str">
        <f t="shared" si="41"/>
        <v>Base de datos en excel</v>
      </c>
      <c r="DG17" s="149" t="str">
        <f t="shared" si="41"/>
        <v>Constante</v>
      </c>
      <c r="DH17" s="149" t="str">
        <f t="shared" si="2"/>
        <v/>
      </c>
      <c r="DI17" s="149">
        <f t="shared" si="3"/>
        <v>100</v>
      </c>
      <c r="DJ17" s="149">
        <f t="shared" si="4"/>
        <v>100</v>
      </c>
      <c r="DK17" s="149">
        <f t="shared" si="5"/>
        <v>100</v>
      </c>
      <c r="DL17" s="149">
        <f t="shared" si="6"/>
        <v>100</v>
      </c>
      <c r="DM17" s="149">
        <f t="shared" si="7"/>
        <v>100</v>
      </c>
      <c r="DN17" s="149">
        <f t="shared" si="36"/>
        <v>100</v>
      </c>
      <c r="DO17" s="149">
        <f t="shared" si="38"/>
        <v>100</v>
      </c>
      <c r="DP17" s="149">
        <f t="shared" si="38"/>
        <v>100</v>
      </c>
      <c r="DQ17" s="149">
        <f t="shared" si="38"/>
        <v>100</v>
      </c>
      <c r="DR17" s="149">
        <f t="shared" si="38"/>
        <v>100</v>
      </c>
      <c r="DS17" s="149">
        <f t="shared" si="38"/>
        <v>100</v>
      </c>
      <c r="DT17" s="149">
        <f t="shared" si="38"/>
        <v>100</v>
      </c>
      <c r="DU17" s="149">
        <f t="shared" ref="DU17:ED27" si="42">+VLOOKUP($A17,consolidado,MATCH(DU$5,consolidadofila,0),0)</f>
        <v>100</v>
      </c>
      <c r="DV17" s="149">
        <f t="shared" si="42"/>
        <v>39</v>
      </c>
      <c r="DW17" s="149">
        <f t="shared" si="42"/>
        <v>39</v>
      </c>
      <c r="DX17" s="149" t="str">
        <f t="shared" si="42"/>
        <v xml:space="preserve">Durante el mes de febrero se tramitaron treinta y nueve  (39) actuaciones judiciales de las 39 solicitados a la Oficina Asesora de Jurídica, dando cumplimiento al 100% de lo solicitado. </v>
      </c>
      <c r="DY17" s="149" t="str">
        <f t="shared" si="42"/>
        <v xml:space="preserve">Durante el mes no hubo retrasos o dificultades para el cumplimiento de la meta en la generación del producto </v>
      </c>
      <c r="DZ17" s="149" t="str">
        <f t="shared" si="42"/>
        <v>Ejercer la defensa judicial y extrajudicial de la entidad</v>
      </c>
      <c r="EA17" s="149">
        <f t="shared" si="42"/>
        <v>51</v>
      </c>
      <c r="EB17" s="149">
        <f t="shared" si="42"/>
        <v>51</v>
      </c>
      <c r="EC17" s="149" t="str">
        <f t="shared" si="42"/>
        <v xml:space="preserve">Durante el mes de febrero se tramitaron cincuenta y un (51) actuaciones judiciales de las 51 solicitados a la Oficina Asesora de Jurídica, dando cumplimiento al 100% de lo solicitado. </v>
      </c>
      <c r="ED17" s="149" t="str">
        <f t="shared" si="42"/>
        <v xml:space="preserve">Durante el mes no hubo retrasos o dificultades para el cumplimiento de la meta en la generación del producto </v>
      </c>
      <c r="EE17" s="149" t="str">
        <f t="shared" ref="EE17:EN27" si="43">+VLOOKUP($A17,consolidado,MATCH(EE$5,consolidadofila,0),0)</f>
        <v>Ejercer la defensa judicial y extrajudicial de la entidad</v>
      </c>
      <c r="EF17" s="149">
        <f t="shared" si="43"/>
        <v>62</v>
      </c>
      <c r="EG17" s="149">
        <f t="shared" si="43"/>
        <v>62</v>
      </c>
      <c r="EH17" s="149" t="str">
        <f t="shared" si="43"/>
        <v xml:space="preserve">Durante el mes de marzo se tramitaron sesenta y dos (62) actuaciones judiciales de las 62 solicitados a la Oficina Asesora de Jurídica, dando cumplimiento al 100% de lo solicitado. </v>
      </c>
      <c r="EI17" s="149" t="str">
        <f t="shared" si="43"/>
        <v xml:space="preserve">Durante el mes no hubo retrasos o dificultades para el cumplimiento de la meta en la generación del producto </v>
      </c>
      <c r="EJ17" s="149" t="str">
        <f t="shared" si="43"/>
        <v>Ejercer la defensa judicial y extrajudicial de la entidad</v>
      </c>
      <c r="EK17" s="149">
        <f t="shared" si="43"/>
        <v>8</v>
      </c>
      <c r="EL17" s="149">
        <f t="shared" si="43"/>
        <v>8</v>
      </c>
      <c r="EM17" s="149" t="str">
        <f t="shared" si="43"/>
        <v xml:space="preserve">Durante el mes de febrero se tramitaron ocho (8) actuaciones judiciales de las 8 solicitados a la Oficina Asesora de Jurídica, dando cumplimiento al 100% de lo solicitado. </v>
      </c>
      <c r="EN17" s="149" t="str">
        <f t="shared" si="43"/>
        <v xml:space="preserve">Durante el mes no hubo retrasos o dificultades para el cumplimiento de la meta en la generación del producto </v>
      </c>
      <c r="EO17" s="149" t="str">
        <f t="shared" ref="EO17:FC32" si="44">+VLOOKUP($A17,consolidado,MATCH(EO$5,consolidadofila,0),0)</f>
        <v>Ejercer la defensa judicial y extrajudicial de la entidad</v>
      </c>
      <c r="EP17" s="149">
        <f t="shared" si="44"/>
        <v>13</v>
      </c>
      <c r="EQ17" s="149">
        <f t="shared" si="44"/>
        <v>13</v>
      </c>
      <c r="ER17" s="149" t="str">
        <f t="shared" si="44"/>
        <v xml:space="preserve">Durante el mes de febrero se tramitaron trece (13) actuaciones judiciales de las 13 solicitadas a la Oficina Asesora de Jurídica, dando cumplimiento al 100% de lo solicitado. </v>
      </c>
      <c r="ES17" s="149" t="str">
        <f t="shared" si="44"/>
        <v xml:space="preserve">Durante el mes no hubo retrasos o dificultades para el cumplimiento de la meta en la generación del producto </v>
      </c>
      <c r="ET17" s="149" t="str">
        <f t="shared" si="44"/>
        <v>Ejercer la defensa judicial y extrajudicial de la entidad</v>
      </c>
      <c r="EU17" s="149">
        <f t="shared" si="11"/>
        <v>21</v>
      </c>
      <c r="EV17" s="149">
        <f t="shared" si="11"/>
        <v>21</v>
      </c>
      <c r="EW17" s="149" t="str">
        <f t="shared" si="11"/>
        <v xml:space="preserve">Durante el mes de junio se atendieron 21 requerimientos judiciales, consistentes en acciones de tutelas. Es importante precisar que debido a la emergencia sanitaria por la que atraviesa el país derivada de la llegada del Covid-19, el Consejo Superior de la Judicatura mediante los acuerdos PCSJA20-11517, PCSJA20-11518,
PCSJA20-11519, PCSJA20-11521, PCSJA20-11526, PCSJA20-11527, PCSJA20-11528, PCSJA20-11529, PCSJA20-11532, PCSJA20-11546, PCSJA20-11549 y PCSJA20-11556 suspendió los términos judiciales, razón por la cual los procesos judiciales adelantados en la Oficina no tuvieron movimientos en los meses de marzo a junio. </v>
      </c>
      <c r="EX17" s="149" t="str">
        <f t="shared" si="11"/>
        <v xml:space="preserve">Durante el mes de junio no se presentaron retrasos que impidieran el adecuado ejercicio de defensa judicial por parte de la Oficina Asesora de Jurídica </v>
      </c>
      <c r="EY17" s="149" t="str">
        <f t="shared" si="11"/>
        <v xml:space="preserve">Ejercer la defensa judicial y extrajudicial de la entidad </v>
      </c>
      <c r="EZ17" s="149">
        <f t="shared" si="44"/>
        <v>194</v>
      </c>
      <c r="FA17" s="149">
        <f t="shared" si="44"/>
        <v>194</v>
      </c>
      <c r="FB17" s="149" t="str">
        <f t="shared" si="44"/>
        <v/>
      </c>
      <c r="FC17" s="149" t="str">
        <f t="shared" si="44"/>
        <v/>
      </c>
      <c r="FD17" s="149" t="str">
        <f t="shared" ref="FD17:FM27" si="45">+VLOOKUP($A17,consolidado,MATCH(FD$5,consolidadofila,0),0)</f>
        <v/>
      </c>
      <c r="FE17" s="149" t="str">
        <f t="shared" si="45"/>
        <v/>
      </c>
      <c r="FF17" s="149" t="str">
        <f t="shared" si="45"/>
        <v/>
      </c>
      <c r="FG17" s="149" t="str">
        <f t="shared" si="45"/>
        <v/>
      </c>
      <c r="FH17" s="149" t="str">
        <f t="shared" si="45"/>
        <v/>
      </c>
      <c r="FI17" s="149" t="str">
        <f t="shared" si="45"/>
        <v/>
      </c>
      <c r="FJ17" s="149" t="str">
        <f t="shared" si="45"/>
        <v/>
      </c>
      <c r="FK17" s="149" t="str">
        <f t="shared" si="45"/>
        <v/>
      </c>
      <c r="FL17" s="149" t="str">
        <f t="shared" si="45"/>
        <v/>
      </c>
      <c r="FM17" s="149" t="str">
        <f t="shared" si="45"/>
        <v/>
      </c>
      <c r="FN17" s="149" t="str">
        <f t="shared" ref="FN17:FW27" si="46">+VLOOKUP($A17,consolidado,MATCH(FN$5,consolidadofila,0),0)</f>
        <v/>
      </c>
      <c r="FO17" s="149" t="str">
        <f t="shared" si="46"/>
        <v/>
      </c>
      <c r="FP17" s="149" t="str">
        <f t="shared" si="46"/>
        <v/>
      </c>
      <c r="FQ17" s="149" t="str">
        <f t="shared" si="46"/>
        <v/>
      </c>
      <c r="FR17" s="149" t="str">
        <f t="shared" si="46"/>
        <v/>
      </c>
      <c r="FS17" s="149" t="str">
        <f t="shared" si="46"/>
        <v/>
      </c>
      <c r="FT17" s="149" t="str">
        <f t="shared" si="46"/>
        <v/>
      </c>
      <c r="FU17" s="149" t="str">
        <f t="shared" si="46"/>
        <v/>
      </c>
      <c r="FV17" s="149" t="str">
        <f t="shared" si="46"/>
        <v/>
      </c>
      <c r="FW17" s="149" t="str">
        <f t="shared" si="46"/>
        <v/>
      </c>
      <c r="FX17" s="149" t="str">
        <f t="shared" ref="FX17:GE27" si="47">+VLOOKUP($A17,consolidado,MATCH(FX$5,consolidadofila,0),0)</f>
        <v/>
      </c>
      <c r="FY17" s="149" t="str">
        <f t="shared" si="47"/>
        <v/>
      </c>
      <c r="FZ17" s="149" t="str">
        <f t="shared" si="47"/>
        <v/>
      </c>
      <c r="GA17" s="149" t="str">
        <f t="shared" si="47"/>
        <v/>
      </c>
      <c r="GB17" s="149" t="str">
        <f t="shared" si="47"/>
        <v/>
      </c>
      <c r="GC17" s="149" t="str">
        <f t="shared" si="47"/>
        <v/>
      </c>
      <c r="GD17" s="149" t="str">
        <f t="shared" si="47"/>
        <v/>
      </c>
      <c r="GE17" s="149" t="str">
        <f t="shared" si="47"/>
        <v/>
      </c>
      <c r="GF17" s="149">
        <f t="shared" si="33"/>
        <v>1</v>
      </c>
      <c r="GG17" s="149">
        <f t="shared" si="22"/>
        <v>1</v>
      </c>
      <c r="GH17" s="149">
        <f t="shared" si="23"/>
        <v>1</v>
      </c>
      <c r="GI17" s="149">
        <f t="shared" si="24"/>
        <v>1</v>
      </c>
      <c r="GJ17" s="149">
        <f t="shared" si="25"/>
        <v>1</v>
      </c>
      <c r="GK17" s="149">
        <f t="shared" si="34"/>
        <v>1</v>
      </c>
      <c r="GL17" s="149">
        <f t="shared" si="15"/>
        <v>100</v>
      </c>
      <c r="GM17" s="149">
        <f t="shared" si="16"/>
        <v>100</v>
      </c>
      <c r="GN17" s="149">
        <f t="shared" si="17"/>
        <v>100</v>
      </c>
      <c r="GO17" s="149">
        <f t="shared" si="18"/>
        <v>100</v>
      </c>
      <c r="GP17" s="149">
        <f t="shared" si="19"/>
        <v>100</v>
      </c>
      <c r="GQ17" s="149">
        <f t="shared" si="19"/>
        <v>100</v>
      </c>
      <c r="GR17" s="153">
        <f t="shared" ref="GR17:GR21" si="48">+IF(DG17="Suma",SUM(GL17:GQ17),AVERAGE(GL17:GQ17))</f>
        <v>100</v>
      </c>
      <c r="GS17" s="149">
        <f t="shared" si="37"/>
        <v>100</v>
      </c>
      <c r="GT17" s="149">
        <f>+IF(OR($A17=52,$A17=124),1,IFERROR(IF($X17="Creciente",IF($AB17="Número",SUM($GL17:GM17)/SUM($DO17:DP17)*($AX17-$AW17),SUM($GL17:GM17)/SUM($DO17:DP17))*($AX17-$AW17),IF($DG17="Creciente",GM17*GM17/GM17,IF(AND($DG17="Constante",$AB17="Porcentaje"),AVERAGEIF($GL17:GM17,"&lt;&gt;0")/AVERAGEIF($DO17:DP17,"&lt;&gt;0")*100,SUM($GL17:GM17)/SUM($DO17:DP17)*$DU17))),GS17))</f>
        <v>100</v>
      </c>
      <c r="GU17" s="149">
        <f>+IF(OR($A17=52,$A17=124),1,IFERROR(IF($X17="Creciente",IF($AB17="Número",SUM($GL17:GN17)/SUM($DO17:DQ17)*($AX17-$AW17),SUM($GL17:GN17)/SUM($DO17:DQ17))*($AX17-$AW17),IF($DG17="Creciente",GN17*GN17/GN17,IF(AND($DG17="Constante",$AB17="Porcentaje"),AVERAGEIF($GL17:GN17,"&lt;&gt;0")/AVERAGEIF($DO17:DQ17,"&lt;&gt;0")*100,SUM($GL17:GN17)/SUM($DO17:DQ17)*$DU17))),GT17))</f>
        <v>100</v>
      </c>
      <c r="GV17" s="149">
        <f>+IF(OR($A17=52,$A17=124),1,IFERROR(IF($X17="Creciente",IF($AB17="Número",SUM($GL17:GO17)/SUM($DO17:DR17)*($AX17-$AW17),SUM($GL17:GO17)/SUM($DO17:DR17))*($AX17-$AW17),IF($DG17="Creciente",GO17*GO17/GO17,IF(AND($DG17="Constante",$AB17="Porcentaje"),AVERAGEIF($GL17:GO17,"&lt;&gt;0")/AVERAGEIF($DO17:DR17,"&lt;&gt;0")*100,SUM($GL17:GO17)/SUM($DO17:DR17)*$DU17))),GU17))</f>
        <v>100</v>
      </c>
      <c r="GW17" s="149">
        <f>+IF(OR($A17=52,$A17=124),1,IFERROR(IF($X17="Creciente",IF($AB17="Número",SUM($GL17:GP17)/SUM($DO17:DS17)*($AX17-$AW17),SUM($GL17:GP17)/SUM($DO17:DS17))*($AX17-$AW17),IF($DG17="Creciente",GP17*GP17/GP17,IF(AND($DG17="Constante",$AB17="Porcentaje"),AVERAGEIF($GL17:GP17,"&lt;&gt;0")/AVERAGEIF($DO17:DS17,"&lt;&gt;0")*100,SUM($GL17:GP17)/SUM($DO17:DS17)*$DU17))),GV17))</f>
        <v>100</v>
      </c>
      <c r="GX17" s="149">
        <f>+IF(OR($A17=52,$A17=124),1,IFERROR(IF($X17="Creciente",IF($AB17="Número",SUM($GL17:GQ17)/SUM($DO17:DT17)*($AX17-$AW17),SUM($GL17:GQ17)/SUM($DO17:DT17))*($AX17-$AW17),IF($DG17="Creciente",GQ17*GQ17/GQ17,IF(AND($DG17="Constante",$AB17="Porcentaje"),AVERAGEIF($GL17:GQ17,"&lt;&gt;0")/AVERAGEIF($DO17:DT17,"&lt;&gt;0")*100,SUM($GL17:GQ17)/SUM($DO17:DT17)*$DU17))),GW17))</f>
        <v>100</v>
      </c>
      <c r="GY17" s="149" t="str">
        <f t="shared" si="28"/>
        <v>El indicador mide la cantidad de requerimientos, frente a los procesos judiciales y trámites extrajudiciales,  las cuales deben responderse dentro del término que otorga la ley para cada caso en especial.</v>
      </c>
      <c r="GZ17" s="149" t="str">
        <f t="shared" si="29"/>
        <v>Responder oportuna y eficazmente los requerimientos generados con ocasión del desarrollo de los procesos judiciales y trámites extrajudiciales en los que sea parte la Secretaría General.</v>
      </c>
      <c r="HA17" s="149" t="str">
        <f t="shared" si="30"/>
        <v>Obtener resultados favorables para la entidad en los procesos judiciales y extrajudiciales y evitar el pago de condenas.</v>
      </c>
      <c r="HB17" s="149" t="str">
        <f t="shared" si="31"/>
        <v>Base de datos en excel</v>
      </c>
      <c r="HC17" s="149" t="str">
        <f t="shared" si="39"/>
        <v>No aplica</v>
      </c>
      <c r="HD17" s="149" t="str">
        <f t="shared" si="39"/>
        <v>Cumplido</v>
      </c>
      <c r="HE17" s="149" t="str">
        <f t="shared" si="39"/>
        <v>Adecuado</v>
      </c>
      <c r="HF17" s="149" t="str">
        <f t="shared" si="39"/>
        <v>Coherente</v>
      </c>
      <c r="HG17" s="149" t="str">
        <f t="shared" si="39"/>
        <v>Concuerda</v>
      </c>
      <c r="HH17" s="149" t="str">
        <f t="shared" si="39"/>
        <v>Concuerda</v>
      </c>
      <c r="HI17" s="149" t="str">
        <f t="shared" si="39"/>
        <v>No aplica</v>
      </c>
      <c r="HJ17" s="149" t="str">
        <f t="shared" si="39"/>
        <v>No adecuado</v>
      </c>
      <c r="HK17" s="149" t="str">
        <f t="shared" si="39"/>
        <v>Oportuna</v>
      </c>
      <c r="HL17" s="149" t="str">
        <f t="shared" si="39"/>
        <v xml:space="preserve">El reporte del indicador es adecuado en términos de coherencia y consistencia. El indicador presenta un cumplimiento del 100% </v>
      </c>
      <c r="HM17" s="149" t="str">
        <f t="shared" si="40"/>
        <v>Jorge Ruiz</v>
      </c>
      <c r="HN17" s="149" t="str">
        <f t="shared" si="40"/>
        <v>Cumple</v>
      </c>
      <c r="HO17" s="149" t="str">
        <f t="shared" si="40"/>
        <v>Cumplido</v>
      </c>
      <c r="HP17" s="149" t="str">
        <f t="shared" si="40"/>
        <v>Adecuado</v>
      </c>
      <c r="HQ17" s="149" t="str">
        <f t="shared" si="40"/>
        <v>Coherente</v>
      </c>
      <c r="HR17" s="149" t="str">
        <f t="shared" si="40"/>
        <v>Concuerda</v>
      </c>
      <c r="HS17" s="149" t="str">
        <f t="shared" si="40"/>
        <v>Concuerda</v>
      </c>
      <c r="HT17" s="149" t="str">
        <f t="shared" si="40"/>
        <v>No aplica</v>
      </c>
      <c r="HU17" s="149" t="str">
        <f t="shared" si="40"/>
        <v>Adecuado</v>
      </c>
      <c r="HV17" s="149" t="str">
        <f t="shared" si="40"/>
        <v>Oportuna</v>
      </c>
      <c r="HW17" s="149" t="str">
        <f t="shared" si="40"/>
        <v xml:space="preserve">El reporte del indicador es adecuado en términos de coherencia y consistencia. El indicador presenta un cumplimiento del 100% </v>
      </c>
      <c r="HX17" s="149" t="str">
        <f t="shared" si="40"/>
        <v>Jorge Ruiz</v>
      </c>
    </row>
    <row r="18" spans="1:241" s="149" customFormat="1" x14ac:dyDescent="0.3">
      <c r="A18" s="145">
        <v>134</v>
      </c>
      <c r="B18" s="146" t="s">
        <v>1144</v>
      </c>
      <c r="C18" s="146" t="s">
        <v>1144</v>
      </c>
      <c r="D18" s="146" t="s">
        <v>1144</v>
      </c>
      <c r="E18" s="146" t="s">
        <v>1144</v>
      </c>
      <c r="F18" s="136" t="s">
        <v>1260</v>
      </c>
      <c r="G18" s="146" t="s">
        <v>1144</v>
      </c>
      <c r="H18" s="146" t="s">
        <v>1144</v>
      </c>
      <c r="I18" s="135" t="s">
        <v>1146</v>
      </c>
      <c r="J18" s="154" t="s">
        <v>159</v>
      </c>
      <c r="K18" s="154" t="s">
        <v>160</v>
      </c>
      <c r="L18" s="154" t="s">
        <v>161</v>
      </c>
      <c r="M18" s="154" t="s">
        <v>1201</v>
      </c>
      <c r="N18" s="154" t="s">
        <v>1222</v>
      </c>
      <c r="O18" s="154" t="s">
        <v>1261</v>
      </c>
      <c r="P18" s="148" t="s">
        <v>1260</v>
      </c>
      <c r="Q18" s="154" t="s">
        <v>1262</v>
      </c>
      <c r="R18" s="154" t="s">
        <v>1263</v>
      </c>
      <c r="S18" s="154" t="s">
        <v>1264</v>
      </c>
      <c r="T18" s="154" t="s">
        <v>1265</v>
      </c>
      <c r="U18" s="154" t="s">
        <v>1266</v>
      </c>
      <c r="V18" s="154" t="s">
        <v>1267</v>
      </c>
      <c r="W18" s="148" t="s">
        <v>601</v>
      </c>
      <c r="X18" s="154" t="s">
        <v>601</v>
      </c>
      <c r="Y18" s="154" t="s">
        <v>1268</v>
      </c>
      <c r="Z18" s="154" t="s">
        <v>1269</v>
      </c>
      <c r="AA18" s="154" t="s">
        <v>1270</v>
      </c>
      <c r="AB18" s="154" t="s">
        <v>602</v>
      </c>
      <c r="AC18" s="154" t="s">
        <v>1271</v>
      </c>
      <c r="AD18" s="154" t="s">
        <v>1160</v>
      </c>
      <c r="AE18" s="154">
        <v>2018</v>
      </c>
      <c r="AF18" s="154">
        <v>3</v>
      </c>
      <c r="AG18" s="154">
        <v>2016</v>
      </c>
      <c r="AH18" s="154">
        <v>1</v>
      </c>
      <c r="AI18" s="154">
        <v>0</v>
      </c>
      <c r="AJ18" s="154">
        <v>1</v>
      </c>
      <c r="AK18" s="154">
        <v>1</v>
      </c>
      <c r="AL18" s="155">
        <v>100</v>
      </c>
      <c r="AM18" s="154">
        <v>0</v>
      </c>
      <c r="AN18" s="146" t="s">
        <v>1144</v>
      </c>
      <c r="AO18" s="146" t="s">
        <v>1144</v>
      </c>
      <c r="AP18" s="146" t="s">
        <v>1144</v>
      </c>
      <c r="AQ18" s="146" t="s">
        <v>1144</v>
      </c>
      <c r="AR18" s="146" t="s">
        <v>1144</v>
      </c>
      <c r="AS18" s="150" t="s">
        <v>1144</v>
      </c>
      <c r="AT18" s="232">
        <v>100</v>
      </c>
      <c r="AU18" s="232">
        <v>0</v>
      </c>
      <c r="AV18" s="232">
        <v>100</v>
      </c>
      <c r="AW18" s="232">
        <v>100</v>
      </c>
      <c r="AX18" s="211">
        <v>100</v>
      </c>
      <c r="AY18" s="232">
        <v>0</v>
      </c>
      <c r="BD18" s="149">
        <v>0</v>
      </c>
      <c r="BJ18" s="149">
        <v>0</v>
      </c>
      <c r="BK18" s="146" t="s">
        <v>1144</v>
      </c>
      <c r="BL18" s="146" t="s">
        <v>1144</v>
      </c>
      <c r="BM18" s="146" t="s">
        <v>1144</v>
      </c>
      <c r="BN18" s="146" t="s">
        <v>1144</v>
      </c>
      <c r="BO18" s="146" t="s">
        <v>1144</v>
      </c>
      <c r="BP18" s="146" t="s">
        <v>1144</v>
      </c>
      <c r="BQ18" s="146" t="s">
        <v>1144</v>
      </c>
      <c r="BR18" s="146" t="s">
        <v>1144</v>
      </c>
      <c r="BS18" s="146" t="s">
        <v>1144</v>
      </c>
      <c r="BT18" s="146" t="s">
        <v>1144</v>
      </c>
      <c r="BU18" s="146" t="s">
        <v>1144</v>
      </c>
      <c r="BV18" s="146" t="s">
        <v>1144</v>
      </c>
      <c r="BW18" s="154" t="s">
        <v>1144</v>
      </c>
      <c r="BX18" s="154" t="s">
        <v>1144</v>
      </c>
      <c r="BY18" s="154">
        <v>1</v>
      </c>
      <c r="BZ18" s="154">
        <v>1</v>
      </c>
      <c r="CA18" s="154" t="s">
        <v>1144</v>
      </c>
      <c r="CB18" s="154" t="s">
        <v>1144</v>
      </c>
      <c r="CC18" s="154" t="s">
        <v>1144</v>
      </c>
      <c r="CD18" s="154">
        <v>1</v>
      </c>
      <c r="CE18" s="154" t="s">
        <v>223</v>
      </c>
      <c r="CF18" s="154" t="s">
        <v>1144</v>
      </c>
      <c r="CG18" s="154" t="s">
        <v>1144</v>
      </c>
      <c r="CH18" s="154" t="s">
        <v>1144</v>
      </c>
      <c r="CI18" s="154" t="s">
        <v>1144</v>
      </c>
      <c r="CJ18" s="154" t="s">
        <v>1144</v>
      </c>
      <c r="CK18" s="154" t="s">
        <v>1144</v>
      </c>
      <c r="CL18" s="154" t="s">
        <v>1144</v>
      </c>
      <c r="CM18" s="154" t="s">
        <v>1144</v>
      </c>
      <c r="CN18" s="154" t="s">
        <v>1144</v>
      </c>
      <c r="CO18" s="154" t="s">
        <v>1144</v>
      </c>
      <c r="CP18" s="154">
        <v>1</v>
      </c>
      <c r="CQ18" s="154" t="s">
        <v>1144</v>
      </c>
      <c r="CR18" s="154" t="s">
        <v>1144</v>
      </c>
      <c r="CS18" s="154">
        <v>1</v>
      </c>
      <c r="CT18" s="154" t="s">
        <v>1144</v>
      </c>
      <c r="CU18" s="154" t="s">
        <v>1144</v>
      </c>
      <c r="CV18" s="154" t="s">
        <v>1144</v>
      </c>
      <c r="CW18" s="154" t="s">
        <v>1144</v>
      </c>
      <c r="CX18" s="154" t="s">
        <v>1144</v>
      </c>
      <c r="CY18" s="154" t="s">
        <v>1144</v>
      </c>
      <c r="CZ18" s="154" t="s">
        <v>1144</v>
      </c>
      <c r="DA18" s="154" t="s">
        <v>1144</v>
      </c>
      <c r="DB18" s="152" t="str">
        <f>IF(BW18="No Aplica","",$BW$5)&amp;IF(BX18="No Aplica","",$BX$5)&amp;IF(BY18="No Aplica","",$BY$5)&amp;IF(BZ18="No Aplica","",$BZ$5)&amp;IF(CA18="No Aplica","",$CA$5)&amp;IF(CB18="No Aplica","",CB18&amp;" ")&amp;IF(CC18="No Aplica","",CC18&amp;", ")&amp;IF(CD18="No Aplica","",$CD$5)&amp;IF(CE18="No Aplica","",$CE$5&amp;CE18&amp;", ")&amp;IF(CF18="No Aplica","",$CF$5)&amp;IF(CG18="No Aplica","",$CG$5)&amp;IF(CH18="No Aplica","",$CH$5)&amp;IF(CI18="No Aplica","",$CI$5)&amp;IF(CJ18="No Aplica","",$CJ$5)&amp;IF(CK18="No Aplica","",$CK$5)&amp;IF(CL18="No Aplica","",$CL$5)&amp;IF(CM18="No Aplica","",$CM$5)&amp;IF(CN18="No Aplica","",$CN$5)&amp;IF(CO18="No Aplica","",$CO$5)&amp;IF(CP18="No Aplica","",$CP$5)&amp;IF(CQ18="No Aplica","",$CQ$5)&amp;IF(CR18="No Aplica","",$CR$5)&amp;IF(CS18="No Aplica","",$CS$5)&amp;IF(CT18="No Aplica","",$CT$5)&amp;IF(CU18="No Aplica","",$CU$5)&amp;IF(CV18="No Aplica","",$CV$5)&amp;IF(CW18="No Aplica","",CW18&amp;", ")&amp;IF(CX18="No Aplica","",$CX$5&amp;CX18&amp;", ")&amp;IF(CY18="No Aplica","",$CY$5)&amp;IF(CZ18="No Aplica","",$CZ$5)&amp;IF(DA18="No Aplica","",$DA$5)</f>
        <v xml:space="preserve">Plan Estratégico Institucional, Plan de Acción, SGC, PROCESO: Evaluación del Sistema de Control Interno, PLAN ESTRATÉGICO DE TALENTO HUMANO, PLAN DE TRABAJO ANUAL EN SEGURIDAD Y SALUD EN EL TRABAJO, </v>
      </c>
      <c r="DC18" s="149" t="str">
        <f t="shared" si="41"/>
        <v xml:space="preserve">Mide el grado de ejecución de las Auditorías Internas de calidad planificadas en la vigencia </v>
      </c>
      <c r="DD18" s="149" t="str">
        <f t="shared" si="41"/>
        <v>1. Planificar la evaluación del SIG
2. Evaluar  integralmente los requisitos del SIG 
3. Presentar resultados de las auditorías realizadas.</v>
      </c>
      <c r="DE18" s="149" t="str">
        <f t="shared" si="41"/>
        <v>1. Contribuye al mejoramiento de la calidad dirigido al usuario que requiere de los productos o servicio ofrecidos por la Entidad.
2. Promueve la mejora continua de los procesos de la organización
3. Tomar medidas frente a fallos existentes en los diferentes procesos.</v>
      </c>
      <c r="DF18" s="149" t="str">
        <f t="shared" si="41"/>
        <v xml:space="preserve">Cronograma de Auditorias Internas de Calidad
Informes de Auditorias Interna de Calidad
Presentación de Resultados </v>
      </c>
      <c r="DG18" s="149" t="str">
        <f t="shared" si="41"/>
        <v>Suma</v>
      </c>
      <c r="DH18" s="149">
        <f t="shared" si="2"/>
        <v>22</v>
      </c>
      <c r="DI18" s="149">
        <f t="shared" si="3"/>
        <v>0</v>
      </c>
      <c r="DJ18" s="149">
        <f t="shared" si="4"/>
        <v>0</v>
      </c>
      <c r="DK18" s="149">
        <f t="shared" si="5"/>
        <v>0</v>
      </c>
      <c r="DL18" s="149">
        <f t="shared" si="6"/>
        <v>0</v>
      </c>
      <c r="DM18" s="149">
        <f t="shared" si="7"/>
        <v>17</v>
      </c>
      <c r="DN18" s="149">
        <f t="shared" si="36"/>
        <v>5</v>
      </c>
      <c r="DO18" s="149">
        <f t="shared" si="38"/>
        <v>0</v>
      </c>
      <c r="DP18" s="149">
        <f t="shared" si="38"/>
        <v>0</v>
      </c>
      <c r="DQ18" s="149">
        <f t="shared" si="38"/>
        <v>0</v>
      </c>
      <c r="DR18" s="149">
        <f t="shared" si="38"/>
        <v>0</v>
      </c>
      <c r="DS18" s="149">
        <f t="shared" si="38"/>
        <v>77.272727272727266</v>
      </c>
      <c r="DT18" s="149">
        <f t="shared" si="38"/>
        <v>22.727272727272727</v>
      </c>
      <c r="DU18" s="149">
        <f t="shared" si="42"/>
        <v>100</v>
      </c>
      <c r="DV18" s="149">
        <f t="shared" si="42"/>
        <v>0</v>
      </c>
      <c r="DW18" s="149">
        <f t="shared" si="42"/>
        <v>0</v>
      </c>
      <c r="DX18" s="149" t="str">
        <f t="shared" si="42"/>
        <v>N/A</v>
      </c>
      <c r="DY18" s="149" t="str">
        <f t="shared" si="42"/>
        <v>N/A</v>
      </c>
      <c r="DZ18" s="149" t="str">
        <f t="shared" si="42"/>
        <v>N/A</v>
      </c>
      <c r="EA18" s="149">
        <f t="shared" si="42"/>
        <v>0</v>
      </c>
      <c r="EB18" s="149">
        <f t="shared" si="42"/>
        <v>0</v>
      </c>
      <c r="EC18" s="149" t="str">
        <f t="shared" si="42"/>
        <v>N/A</v>
      </c>
      <c r="ED18" s="149" t="str">
        <f t="shared" si="42"/>
        <v>N/A</v>
      </c>
      <c r="EE18" s="149" t="str">
        <f t="shared" si="43"/>
        <v>N/A</v>
      </c>
      <c r="EF18" s="149">
        <f t="shared" si="43"/>
        <v>0</v>
      </c>
      <c r="EG18" s="149">
        <f t="shared" si="43"/>
        <v>0</v>
      </c>
      <c r="EH18" s="149" t="str">
        <f t="shared" si="43"/>
        <v>N/A</v>
      </c>
      <c r="EI18" s="149" t="str">
        <f t="shared" si="43"/>
        <v>N/A</v>
      </c>
      <c r="EJ18" s="149" t="str">
        <f t="shared" si="43"/>
        <v>N/A</v>
      </c>
      <c r="EK18" s="149">
        <f t="shared" si="43"/>
        <v>0</v>
      </c>
      <c r="EL18" s="149">
        <f t="shared" si="43"/>
        <v>0</v>
      </c>
      <c r="EM18" s="149" t="str">
        <f t="shared" si="43"/>
        <v>N/A</v>
      </c>
      <c r="EN18" s="149" t="str">
        <f t="shared" si="43"/>
        <v>N/A</v>
      </c>
      <c r="EO18" s="149" t="str">
        <f t="shared" si="44"/>
        <v>N/A</v>
      </c>
      <c r="EP18" s="149">
        <f t="shared" si="44"/>
        <v>11</v>
      </c>
      <c r="EQ18" s="149">
        <f t="shared" si="44"/>
        <v>17</v>
      </c>
      <c r="ER18" s="149" t="str">
        <f t="shared" si="44"/>
        <v>Del total de auditorias programadas se ejecutaron las sigueintes: 1. Asesoria Tecnica ATIC
2. Impresos y registro distrital
3. Control Interno Disciplinario
4. Estrategia de Tecnologia de la Informacion
5. Gestión JurÍdica
6. Administracion y Gestion publica
7. Servicios Adminsitrativos
8. Atención de victimas
9. Infraestructura Recursos Tecnologicos
10. Gestion Financiera
11. Gestión Documental Interna</v>
      </c>
      <c r="ES18" s="149" t="str">
        <f t="shared" si="44"/>
        <v>Teniendo en cuenta la situacion de confinamiento obligatorio, se vio la necesidad de reprogramar algunas auditorias, ya que los lideres de los procesos o equipo de auditor presentaban agendas con varias asignaciones, por lo anterior no se ejecutaron la totalidad de auditorias programadas, sin embargo, estas se ejecutaran en junio 2020.</v>
      </c>
      <c r="ET18" s="149" t="str">
        <f t="shared" si="44"/>
        <v>1. Contribuye al mejoramiento de la calidad dirigido al usuario que requiere de los productos o servicio ofrecidos por la Entidad.
2. Promueve la mejora continua de los procesos de la organización
3. Tomar medidas frente a fallos existentes en los diferentes procesos.</v>
      </c>
      <c r="EU18" s="149">
        <f t="shared" si="11"/>
        <v>11</v>
      </c>
      <c r="EV18" s="149">
        <f t="shared" si="11"/>
        <v>5</v>
      </c>
      <c r="EW18" s="149" t="str">
        <f t="shared" si="11"/>
        <v>Para el mes de mayo se encontraban programadas 17 auditorías de las cuales se ejecutaron 11 de estas, sin embargo, en el mes de junio se realizaron las restantes 7 de mayo y se culminaron las auditorías a los 22 proceso de la entidad, los informes se relacionan a continuación: 1. Seguridad y salud en el trabajo, 2 Política pública, 3 Recursos Físicos, 4 Función Archivística, 5 Internacionalización de Bogotá, 6 Direccionamiento Estratégico, 7 Comunicación Publica, 8 Talento Humano, 9 Servicio a la ciudadanía, 10 Contratación y 11 Control Interno.</v>
      </c>
      <c r="EX18" s="149" t="str">
        <f t="shared" si="11"/>
        <v>No se presentaron dificultades</v>
      </c>
      <c r="EY18" s="149" t="str">
        <f t="shared" si="11"/>
        <v>1. Contribuye al mejoramiento de la calidad dirigido al usuario que requiere de los productos o servicio ofrecidos por la Entidad.
2. Promueve la mejora continua de los procesos de la organización
3. Tomar medidas frente a fallos existentes en los diferentes procesos.</v>
      </c>
      <c r="EZ18" s="149">
        <f t="shared" si="44"/>
        <v>22</v>
      </c>
      <c r="FA18" s="149">
        <f t="shared" si="44"/>
        <v>22</v>
      </c>
      <c r="FB18" s="149" t="str">
        <f t="shared" si="44"/>
        <v/>
      </c>
      <c r="FC18" s="149" t="str">
        <f t="shared" si="44"/>
        <v/>
      </c>
      <c r="FD18" s="149" t="str">
        <f t="shared" si="45"/>
        <v/>
      </c>
      <c r="FE18" s="149" t="str">
        <f t="shared" si="45"/>
        <v/>
      </c>
      <c r="FF18" s="149" t="str">
        <f t="shared" si="45"/>
        <v/>
      </c>
      <c r="FG18" s="149" t="str">
        <f t="shared" si="45"/>
        <v/>
      </c>
      <c r="FH18" s="149" t="str">
        <f t="shared" si="45"/>
        <v/>
      </c>
      <c r="FI18" s="149" t="str">
        <f t="shared" si="45"/>
        <v/>
      </c>
      <c r="FJ18" s="149" t="str">
        <f t="shared" si="45"/>
        <v/>
      </c>
      <c r="FK18" s="149" t="str">
        <f t="shared" si="45"/>
        <v/>
      </c>
      <c r="FL18" s="149" t="str">
        <f t="shared" si="45"/>
        <v/>
      </c>
      <c r="FM18" s="149" t="str">
        <f t="shared" si="45"/>
        <v/>
      </c>
      <c r="FN18" s="149" t="str">
        <f t="shared" si="46"/>
        <v/>
      </c>
      <c r="FO18" s="149" t="str">
        <f t="shared" si="46"/>
        <v/>
      </c>
      <c r="FP18" s="149" t="str">
        <f t="shared" si="46"/>
        <v/>
      </c>
      <c r="FQ18" s="149" t="str">
        <f t="shared" si="46"/>
        <v/>
      </c>
      <c r="FR18" s="149" t="str">
        <f t="shared" si="46"/>
        <v/>
      </c>
      <c r="FS18" s="149" t="str">
        <f t="shared" si="46"/>
        <v/>
      </c>
      <c r="FT18" s="149" t="str">
        <f t="shared" si="46"/>
        <v/>
      </c>
      <c r="FU18" s="149" t="str">
        <f t="shared" si="46"/>
        <v/>
      </c>
      <c r="FV18" s="149" t="str">
        <f t="shared" si="46"/>
        <v/>
      </c>
      <c r="FW18" s="149" t="str">
        <f t="shared" si="46"/>
        <v/>
      </c>
      <c r="FX18" s="149" t="str">
        <f t="shared" si="47"/>
        <v/>
      </c>
      <c r="FY18" s="149" t="str">
        <f t="shared" si="47"/>
        <v/>
      </c>
      <c r="FZ18" s="149" t="str">
        <f t="shared" si="47"/>
        <v/>
      </c>
      <c r="GA18" s="149" t="str">
        <f t="shared" si="47"/>
        <v/>
      </c>
      <c r="GB18" s="149" t="str">
        <f t="shared" si="47"/>
        <v/>
      </c>
      <c r="GC18" s="149" t="str">
        <f t="shared" si="47"/>
        <v/>
      </c>
      <c r="GD18" s="149" t="str">
        <f t="shared" si="47"/>
        <v/>
      </c>
      <c r="GE18" s="149" t="str">
        <f t="shared" si="47"/>
        <v/>
      </c>
      <c r="GF18" s="149">
        <f t="shared" si="33"/>
        <v>0</v>
      </c>
      <c r="GG18" s="149">
        <f t="shared" si="22"/>
        <v>0</v>
      </c>
      <c r="GH18" s="149">
        <f t="shared" si="23"/>
        <v>0</v>
      </c>
      <c r="GI18" s="149">
        <f t="shared" si="24"/>
        <v>0</v>
      </c>
      <c r="GJ18" s="149">
        <f t="shared" si="25"/>
        <v>0.6470588235294118</v>
      </c>
      <c r="GK18" s="149">
        <f t="shared" si="34"/>
        <v>1</v>
      </c>
      <c r="GL18" s="149">
        <f t="shared" si="15"/>
        <v>0</v>
      </c>
      <c r="GM18" s="149">
        <f t="shared" si="16"/>
        <v>0</v>
      </c>
      <c r="GN18" s="149">
        <f t="shared" si="17"/>
        <v>0</v>
      </c>
      <c r="GO18" s="149">
        <f t="shared" si="18"/>
        <v>0</v>
      </c>
      <c r="GP18" s="149">
        <f t="shared" si="19"/>
        <v>50</v>
      </c>
      <c r="GQ18" s="149">
        <f t="shared" si="19"/>
        <v>50</v>
      </c>
      <c r="GR18" s="153">
        <f t="shared" si="48"/>
        <v>100</v>
      </c>
      <c r="GS18" s="149" t="str">
        <f t="shared" si="37"/>
        <v>No Programó</v>
      </c>
      <c r="GT18" s="149" t="str">
        <f>+IF(OR($A18=52,$A18=124),1,IFERROR(IF($X18="Creciente",IF($AB18="Número",SUM($GL18:GM18)/SUM($DO18:DP18)*($AX18-$AW18),SUM($GL18:GM18)/SUM($DO18:DP18))*($AX18-$AW18),IF($DG18="Creciente",GM18*GM18/GM18,IF(AND($DG18="Constante",$AB18="Porcentaje"),AVERAGEIF($GL18:GM18,"&lt;&gt;0")/AVERAGEIF($DO18:DP18,"&lt;&gt;0")*100,SUM($GL18:GM18)/SUM($DO18:DP18)*$DU18))),GS18))</f>
        <v>No Programó</v>
      </c>
      <c r="GU18" s="149" t="str">
        <f>+IF(OR($A18=52,$A18=124),1,IFERROR(IF($X18="Creciente",IF($AB18="Número",SUM($GL18:GN18)/SUM($DO18:DQ18)*($AX18-$AW18),SUM($GL18:GN18)/SUM($DO18:DQ18))*($AX18-$AW18),IF($DG18="Creciente",GN18*GN18/GN18,IF(AND($DG18="Constante",$AB18="Porcentaje"),AVERAGEIF($GL18:GN18,"&lt;&gt;0")/AVERAGEIF($DO18:DQ18,"&lt;&gt;0")*100,SUM($GL18:GN18)/SUM($DO18:DQ18)*$DU18))),GT18))</f>
        <v>No Programó</v>
      </c>
      <c r="GV18" s="149" t="str">
        <f>+IF(OR($A18=52,$A18=124),1,IFERROR(IF($X18="Creciente",IF($AB18="Número",SUM($GL18:GO18)/SUM($DO18:DR18)*($AX18-$AW18),SUM($GL18:GO18)/SUM($DO18:DR18))*($AX18-$AW18),IF($DG18="Creciente",GO18*GO18/GO18,IF(AND($DG18="Constante",$AB18="Porcentaje"),AVERAGEIF($GL18:GO18,"&lt;&gt;0")/AVERAGEIF($DO18:DR18,"&lt;&gt;0")*100,SUM($GL18:GO18)/SUM($DO18:DR18)*$DU18))),GU18))</f>
        <v>No Programó</v>
      </c>
      <c r="GW18" s="149">
        <f>+IF(OR($A18=52,$A18=124),1,IFERROR(IF($X18="Creciente",IF($AB18="Número",SUM($GL18:GP18)/SUM($DO18:DS18)*($AX18-$AW18),SUM($GL18:GP18)/SUM($DO18:DS18))*($AX18-$AW18),IF($DG18="Creciente",GP18*GP18/GP18,IF(AND($DG18="Constante",$AB18="Porcentaje"),AVERAGEIF($GL18:GP18,"&lt;&gt;0")/AVERAGEIF($DO18:DS18,"&lt;&gt;0")*100,SUM($GL18:GP18)/SUM($DO18:DS18)*$DU18))),GV18))</f>
        <v>64.705882352941174</v>
      </c>
      <c r="GX18" s="149">
        <f>+IF(OR($A18=52,$A18=124),1,IFERROR(IF($X18="Creciente",IF($AB18="Número",SUM($GL18:GQ18)/SUM($DO18:DT18)*($AX18-$AW18),SUM($GL18:GQ18)/SUM($DO18:DT18))*($AX18-$AW18),IF($DG18="Creciente",GQ18*GQ18/GQ18,IF(AND($DG18="Constante",$AB18="Porcentaje"),AVERAGEIF($GL18:GQ18,"&lt;&gt;0")/AVERAGEIF($DO18:DT18,"&lt;&gt;0")*100,SUM($GL18:GQ18)/SUM($DO18:DT18)*$DU18))),GW18))</f>
        <v>100</v>
      </c>
      <c r="GY18" s="149" t="str">
        <f t="shared" si="28"/>
        <v xml:space="preserve">Mide el grado de ejecución de las Auditorías Internas de calidad planificadas en la vigencia </v>
      </c>
      <c r="GZ18" s="149" t="str">
        <f t="shared" si="29"/>
        <v>1. Planificar la evaluación del SIG
2. Evaluar  integralmente los requisitos del SIG 
3. Presentar resultados de las auditorías realizadas.</v>
      </c>
      <c r="HA18" s="149" t="str">
        <f t="shared" si="30"/>
        <v>1. Contribuye al mejoramiento de la calidad dirigido al usuario que requiere de los productos o servicio ofrecidos por la Entidad.
2. Promueve la mejora continua de los procesos de la organización
3. Tomar medidas frente a fallos existentes en los diferentes procesos.</v>
      </c>
      <c r="HB18" s="149" t="str">
        <f t="shared" si="31"/>
        <v xml:space="preserve">Cronograma de Auditorias Internas de Calidad
Informes de Auditorias Interna de Calidad
Presentación de Resultados </v>
      </c>
      <c r="HC18" s="149" t="str">
        <f t="shared" si="39"/>
        <v>Cumple</v>
      </c>
      <c r="HD18" s="149" t="str">
        <f t="shared" si="39"/>
        <v>Insuficiente</v>
      </c>
      <c r="HE18" s="149" t="str">
        <f t="shared" si="39"/>
        <v>Adecuado</v>
      </c>
      <c r="HF18" s="149" t="str">
        <f t="shared" si="39"/>
        <v>Coherente</v>
      </c>
      <c r="HG18" s="149" t="str">
        <f t="shared" si="39"/>
        <v>Concuerda</v>
      </c>
      <c r="HH18" s="149" t="str">
        <f t="shared" si="39"/>
        <v>Concuerda</v>
      </c>
      <c r="HI18" s="149" t="str">
        <f t="shared" si="39"/>
        <v>Relación directa</v>
      </c>
      <c r="HJ18" s="149" t="str">
        <f t="shared" si="39"/>
        <v>Adecuado</v>
      </c>
      <c r="HK18" s="149" t="str">
        <f t="shared" si="39"/>
        <v>Oportuna</v>
      </c>
      <c r="HL18" s="149" t="str">
        <f t="shared" si="39"/>
        <v>C2. En atención a la reprogramación de auditorías, se requiere efectuar seguimiento periódico en el mes de junio, para efectivamente ejecutar las 22 auditorías programadas.</v>
      </c>
      <c r="HM18" s="149" t="str">
        <f t="shared" si="40"/>
        <v>Cesar Arcos</v>
      </c>
      <c r="HN18" s="149" t="str">
        <f t="shared" si="40"/>
        <v>Cumple</v>
      </c>
      <c r="HO18" s="149" t="str">
        <f t="shared" si="40"/>
        <v>Cumplido</v>
      </c>
      <c r="HP18" s="149" t="str">
        <f t="shared" si="40"/>
        <v>Adecuado</v>
      </c>
      <c r="HQ18" s="149" t="str">
        <f t="shared" si="40"/>
        <v>Coherente</v>
      </c>
      <c r="HR18" s="149" t="str">
        <f t="shared" si="40"/>
        <v>Concuerda</v>
      </c>
      <c r="HS18" s="149" t="str">
        <f t="shared" si="40"/>
        <v>Concuerda</v>
      </c>
      <c r="HT18" s="149" t="str">
        <f t="shared" si="40"/>
        <v>Relación directa</v>
      </c>
      <c r="HU18" s="149" t="str">
        <f t="shared" si="40"/>
        <v>Adecuado</v>
      </c>
      <c r="HV18" s="149" t="str">
        <f t="shared" si="40"/>
        <v>Oportuna</v>
      </c>
      <c r="HW18" s="149" t="str">
        <f t="shared" si="40"/>
        <v>No se tienen observaciones.</v>
      </c>
      <c r="HX18" s="149" t="str">
        <f t="shared" si="40"/>
        <v>Cesar Arcos</v>
      </c>
    </row>
    <row r="19" spans="1:241" s="149" customFormat="1" x14ac:dyDescent="0.3">
      <c r="A19" s="145" t="s">
        <v>345</v>
      </c>
      <c r="B19" s="146" t="s">
        <v>1144</v>
      </c>
      <c r="C19" s="146" t="s">
        <v>1144</v>
      </c>
      <c r="D19" s="146" t="s">
        <v>1144</v>
      </c>
      <c r="E19" s="146" t="s">
        <v>1144</v>
      </c>
      <c r="F19" s="136" t="s">
        <v>1272</v>
      </c>
      <c r="G19" s="146" t="s">
        <v>1144</v>
      </c>
      <c r="H19" s="146" t="s">
        <v>1144</v>
      </c>
      <c r="I19" s="135" t="s">
        <v>1146</v>
      </c>
      <c r="J19" s="154" t="s">
        <v>159</v>
      </c>
      <c r="K19" s="154" t="s">
        <v>160</v>
      </c>
      <c r="L19" s="154" t="s">
        <v>161</v>
      </c>
      <c r="M19" s="154" t="s">
        <v>1201</v>
      </c>
      <c r="N19" s="154" t="s">
        <v>1222</v>
      </c>
      <c r="O19" s="154" t="s">
        <v>1273</v>
      </c>
      <c r="P19" s="148" t="s">
        <v>1272</v>
      </c>
      <c r="Q19" s="154" t="s">
        <v>1274</v>
      </c>
      <c r="R19" s="154" t="s">
        <v>1275</v>
      </c>
      <c r="S19" s="154" t="s">
        <v>1276</v>
      </c>
      <c r="T19" s="154" t="s">
        <v>1277</v>
      </c>
      <c r="U19" s="154" t="s">
        <v>1278</v>
      </c>
      <c r="V19" s="154" t="s">
        <v>1279</v>
      </c>
      <c r="W19" s="148" t="s">
        <v>601</v>
      </c>
      <c r="X19" s="154" t="s">
        <v>601</v>
      </c>
      <c r="Y19" s="154" t="s">
        <v>1280</v>
      </c>
      <c r="Z19" s="154" t="s">
        <v>1281</v>
      </c>
      <c r="AA19" s="154" t="s">
        <v>1282</v>
      </c>
      <c r="AB19" s="154" t="s">
        <v>602</v>
      </c>
      <c r="AC19" s="154" t="s">
        <v>1271</v>
      </c>
      <c r="AD19" s="154" t="s">
        <v>1160</v>
      </c>
      <c r="AE19" s="154">
        <v>2018</v>
      </c>
      <c r="AF19" s="154">
        <v>31</v>
      </c>
      <c r="AG19" s="154">
        <v>2016</v>
      </c>
      <c r="AH19" s="154">
        <v>1</v>
      </c>
      <c r="AI19" s="154">
        <v>1</v>
      </c>
      <c r="AJ19" s="154">
        <v>1</v>
      </c>
      <c r="AK19" s="154">
        <v>1</v>
      </c>
      <c r="AL19" s="155">
        <v>100</v>
      </c>
      <c r="AM19" s="154">
        <v>0</v>
      </c>
      <c r="AN19" s="146" t="s">
        <v>1144</v>
      </c>
      <c r="AO19" s="146" t="s">
        <v>1144</v>
      </c>
      <c r="AP19" s="146" t="s">
        <v>1144</v>
      </c>
      <c r="AQ19" s="146" t="s">
        <v>1144</v>
      </c>
      <c r="AR19" s="146" t="s">
        <v>1144</v>
      </c>
      <c r="AS19" s="150" t="s">
        <v>1144</v>
      </c>
      <c r="AT19" s="232">
        <v>100</v>
      </c>
      <c r="AU19" s="232">
        <v>100</v>
      </c>
      <c r="AV19" s="232">
        <v>100</v>
      </c>
      <c r="AW19" s="232">
        <v>100</v>
      </c>
      <c r="AX19" s="211">
        <v>100</v>
      </c>
      <c r="AY19" s="232">
        <v>0</v>
      </c>
      <c r="BD19" s="149">
        <v>0</v>
      </c>
      <c r="BJ19" s="149">
        <v>0</v>
      </c>
      <c r="BK19" s="146" t="s">
        <v>1144</v>
      </c>
      <c r="BL19" s="146" t="s">
        <v>1144</v>
      </c>
      <c r="BM19" s="146" t="s">
        <v>1144</v>
      </c>
      <c r="BN19" s="146" t="s">
        <v>1144</v>
      </c>
      <c r="BO19" s="146" t="s">
        <v>1144</v>
      </c>
      <c r="BP19" s="146" t="s">
        <v>1144</v>
      </c>
      <c r="BQ19" s="146" t="s">
        <v>1144</v>
      </c>
      <c r="BR19" s="146" t="s">
        <v>1144</v>
      </c>
      <c r="BS19" s="146" t="s">
        <v>1144</v>
      </c>
      <c r="BT19" s="146" t="s">
        <v>1144</v>
      </c>
      <c r="BU19" s="146" t="s">
        <v>1144</v>
      </c>
      <c r="BV19" s="146" t="s">
        <v>1144</v>
      </c>
      <c r="BW19" s="154" t="s">
        <v>1144</v>
      </c>
      <c r="BX19" s="154" t="s">
        <v>1144</v>
      </c>
      <c r="BY19" s="154">
        <v>1</v>
      </c>
      <c r="BZ19" s="154">
        <v>1</v>
      </c>
      <c r="CA19" s="154" t="s">
        <v>1144</v>
      </c>
      <c r="CB19" s="154" t="s">
        <v>1144</v>
      </c>
      <c r="CC19" s="154" t="s">
        <v>1144</v>
      </c>
      <c r="CD19" s="154">
        <v>1</v>
      </c>
      <c r="CE19" s="154" t="s">
        <v>223</v>
      </c>
      <c r="CF19" s="154" t="s">
        <v>1144</v>
      </c>
      <c r="CG19" s="154" t="s">
        <v>1144</v>
      </c>
      <c r="CH19" s="154" t="s">
        <v>1144</v>
      </c>
      <c r="CI19" s="154" t="s">
        <v>1144</v>
      </c>
      <c r="CJ19" s="154" t="s">
        <v>1144</v>
      </c>
      <c r="CK19" s="154" t="s">
        <v>1144</v>
      </c>
      <c r="CL19" s="154" t="s">
        <v>1144</v>
      </c>
      <c r="CM19" s="154" t="s">
        <v>1144</v>
      </c>
      <c r="CN19" s="154" t="s">
        <v>1144</v>
      </c>
      <c r="CO19" s="154" t="s">
        <v>1144</v>
      </c>
      <c r="CP19" s="154" t="s">
        <v>1144</v>
      </c>
      <c r="CQ19" s="154" t="s">
        <v>1144</v>
      </c>
      <c r="CR19" s="154" t="s">
        <v>1144</v>
      </c>
      <c r="CS19" s="154" t="s">
        <v>1144</v>
      </c>
      <c r="CT19" s="154" t="s">
        <v>1144</v>
      </c>
      <c r="CU19" s="154" t="s">
        <v>1144</v>
      </c>
      <c r="CV19" s="154" t="s">
        <v>1144</v>
      </c>
      <c r="CW19" s="154" t="s">
        <v>1144</v>
      </c>
      <c r="CX19" s="154" t="s">
        <v>1144</v>
      </c>
      <c r="CY19" s="154" t="s">
        <v>1144</v>
      </c>
      <c r="CZ19" s="154" t="s">
        <v>1144</v>
      </c>
      <c r="DA19" s="154" t="s">
        <v>1144</v>
      </c>
      <c r="DB19" s="152" t="str">
        <f t="shared" si="32"/>
        <v xml:space="preserve">Plan Estratégico Institucional, Plan de Acción, SGC, PROCESO: Evaluación del Sistema de Control Interno, </v>
      </c>
      <c r="DC19" s="149" t="str">
        <f t="shared" si="41"/>
        <v>El indicador mide el grado de avance en la ejecución de las evaluaciones y seguimientos del Plan Anual de Auditorías realizados en el periodo, con respecto a la programación de la vigencia.</v>
      </c>
      <c r="DD19" s="149" t="str">
        <f t="shared" si="41"/>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
      <c r="DE19" s="149" t="str">
        <f t="shared" si="41"/>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
      <c r="DF19" s="149" t="str">
        <f t="shared" si="41"/>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
      <c r="DG19" s="149" t="str">
        <f t="shared" si="41"/>
        <v>Suma</v>
      </c>
      <c r="DH19" s="149">
        <f t="shared" si="2"/>
        <v>45</v>
      </c>
      <c r="DI19" s="149">
        <f t="shared" si="3"/>
        <v>6</v>
      </c>
      <c r="DJ19" s="149">
        <f t="shared" si="4"/>
        <v>8</v>
      </c>
      <c r="DK19" s="149">
        <f t="shared" si="5"/>
        <v>6</v>
      </c>
      <c r="DL19" s="149">
        <f t="shared" si="6"/>
        <v>11</v>
      </c>
      <c r="DM19" s="149">
        <f t="shared" si="7"/>
        <v>10</v>
      </c>
      <c r="DN19" s="149">
        <f t="shared" si="36"/>
        <v>4</v>
      </c>
      <c r="DO19" s="149">
        <f t="shared" si="38"/>
        <v>13.333333333333334</v>
      </c>
      <c r="DP19" s="149">
        <f t="shared" si="38"/>
        <v>17.777777777777779</v>
      </c>
      <c r="DQ19" s="149">
        <f t="shared" si="38"/>
        <v>13.333333333333334</v>
      </c>
      <c r="DR19" s="149">
        <f t="shared" si="38"/>
        <v>24.444444444444443</v>
      </c>
      <c r="DS19" s="149">
        <f t="shared" si="38"/>
        <v>22.222222222222221</v>
      </c>
      <c r="DT19" s="149">
        <f t="shared" si="38"/>
        <v>8.8888888888888893</v>
      </c>
      <c r="DU19" s="149">
        <f t="shared" si="42"/>
        <v>100</v>
      </c>
      <c r="DV19" s="149">
        <f t="shared" si="42"/>
        <v>6</v>
      </c>
      <c r="DW19" s="149">
        <f t="shared" si="42"/>
        <v>6</v>
      </c>
      <c r="DX19" s="149" t="str">
        <f t="shared" si="42"/>
        <v>En el mes de enero se dio cumplimiento a la totalidad de actividades programadas las cuales atendieron a: Informe Gestión Judicial II semestre 2019, Informe Seguimiento Comité Conciliación III Trim 2019, Informe Seguimiento PAAC Corte 31122019, Informe Monitoreo Riesgos de Corrupción Entidad III cuatrimestre de 2019, Informe Seguimiento Contingente Judicial IV Trim 2019 y Evaluación Control Interno Contable  2019.</v>
      </c>
      <c r="DY19" s="149" t="str">
        <f t="shared" si="42"/>
        <v>No se presentaron retrasos ni dificultades para el cumplimiento de las actividades programadas.</v>
      </c>
      <c r="DZ19" s="149" t="str">
        <f t="shared" si="42"/>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EA19" s="149">
        <f t="shared" si="42"/>
        <v>8</v>
      </c>
      <c r="EB19" s="149">
        <f t="shared" si="42"/>
        <v>8</v>
      </c>
      <c r="EC19" s="149" t="str">
        <f t="shared" si="42"/>
        <v>En el mes de enero se dio cumplimiento a la totalidad de actividades programadas las cuales atendieron a: Consolidación planes de mejoramiento auditorías internas, Informe Resultados Evaluación Institucional por Dependencias, Seguimiento Plan de Mejoramiento Contraloría corte 31 enero 2020, Seguimiento a la PQRD`S, Cuenta Anual Contraloría de Bogotá 2019, Pormenorizado del SCI II semestre 2019, Seguimiento a la ejecución contractual y presupuesta a 31 de Enero 2020 y Seguimiento Metas PDD Corte al 31 Dic 2019.</v>
      </c>
      <c r="ED19" s="149" t="str">
        <f t="shared" si="42"/>
        <v>No se presentaron retrasos ni dificultades para el cumplimiento de las actividades programadas.</v>
      </c>
      <c r="EE19" s="149" t="str">
        <f t="shared" si="43"/>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EF19" s="149">
        <f t="shared" si="43"/>
        <v>6</v>
      </c>
      <c r="EG19" s="149">
        <f t="shared" si="43"/>
        <v>6</v>
      </c>
      <c r="EH19" s="149" t="str">
        <f t="shared" si="43"/>
        <v>En el mes de enero se dio cumplimiento a la totalidad de actividades programadas las cuales atendieron a: Ejecución Presupuestal y Contractual a 29 Feb 2020, Seguimiento Plan Mejoramiento Contraloría corte 28 febrero 2020, Auditoria Ley de Transparencia 1712 de 2014, Seguimiento Planes Mejoramiento Auditorías Internas corte Febrero 2020, Auditoria Proceso de Comunicación Pública y Seguimiento Subcomités de Autocontrol.</v>
      </c>
      <c r="EI19" s="149" t="str">
        <f t="shared" si="43"/>
        <v>No se presentaron retrasos ni dificultades para el cumplimiento de las actividades programadas.</v>
      </c>
      <c r="EJ19" s="149" t="str">
        <f t="shared" si="43"/>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EK19" s="149">
        <f t="shared" si="43"/>
        <v>11</v>
      </c>
      <c r="EL19" s="149">
        <f t="shared" si="43"/>
        <v>11</v>
      </c>
      <c r="EM19" s="149" t="str">
        <f t="shared" si="43"/>
        <v>En el mes de enero se dio cumplimiento a la totalidad de actividades programadas las cuales atendieron a: Auditoria Proceso Gestión Estratégica del Talento Humano, Auditoría sobre Uso de Software y Derechos de Autor, Seguimiento Planes Mejoramiento Auditorías Internas corte Marzo 2020, Seguimiento Plan Mejoramiento Contraloría corte 31 marzo 2020, Auditoria Fortalecimiento a la Administración y la Gestión Pública Distrital, Seguimiento SIDEAP, Seguimiento a la ejecución contractual y presupuesta a 31 de marzo 2020, Seguimiento a las Medidas de Austeridad en el Gasto Corte 31. Dic 2019, Auditoria Sistema Distrital de Servicio a la Ciudadanía, Auditoria Asistencia, Atención y Reparación Integral a Víctimas del Conflicto armado e Implementación de Acciones de Memoria, Paz y Reconciliación en Bogotá y Seguimiento Contingente Judicia I Trim 2020.</v>
      </c>
      <c r="EN19" s="149" t="str">
        <f t="shared" si="43"/>
        <v>No se presentaron retrasos ni dificultades para el cumplimiento de las actividades programadas.</v>
      </c>
      <c r="EO19" s="149" t="str">
        <f t="shared" si="44"/>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EP19" s="149">
        <f t="shared" si="44"/>
        <v>10</v>
      </c>
      <c r="EQ19" s="149">
        <f t="shared" si="44"/>
        <v>10</v>
      </c>
      <c r="ER19" s="149" t="str">
        <f t="shared" si="44"/>
        <v>En el mes de enero se dio cumplimiento a la totalidad de actividades programadas las cuales atendieron a: Seguimiento al Plan Institucional de Gestión Ambiental – PIGA, Seguimiento Cumplimiento Directiva 03 de 2015, Auditoria Política de Riesgos, Seguimiento Planes Mejoramiento Auditorías Internas y Contraloría de Bogotá, Seguimiento medidas de austeridad en el Gasto I Trim 2020, Auditoria Gestión Documental, Seguimiento Mapas de Riesgos de Corrupción Entidad, Seguimiento PAAC, Auditoria Internacionalización y Auditoria Sistema Información Victimas del Distrito Capital –SIVIC.</v>
      </c>
      <c r="ES19" s="149" t="str">
        <f t="shared" si="44"/>
        <v>No se presentaron retrasos ni dificultades para el cumplimiento de las actividades programadas.</v>
      </c>
      <c r="ET19" s="149" t="str">
        <f t="shared" si="44"/>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EU19" s="149">
        <f t="shared" si="11"/>
        <v>4</v>
      </c>
      <c r="EV19" s="149">
        <f t="shared" si="11"/>
        <v>4</v>
      </c>
      <c r="EW19" s="149" t="str">
        <f t="shared" si="11"/>
        <v>Según lo programado en el  Plan Anual de Auditoria de la vigencia 2020, para el mes de junio se encontraban programadas 4 actividades relacionadas con: Seguimiento plan de mejoramiento Interno y Contraloria, seguimiento Subcomites Autocontrol, Racionalizacion de tramites y Soporte Infraestructura, actividades que se ejecutaron en su totalidad.</v>
      </c>
      <c r="EX19" s="149" t="str">
        <f t="shared" si="11"/>
        <v>No se presentaron retrasos ni dificultades para el cumplimiento de las actividades programadas.</v>
      </c>
      <c r="EY19" s="149" t="str">
        <f t="shared" si="11"/>
        <v>1. Aplicar acciones frente a las situaciones que puedan afectar el cumplimiento de los objetivos institucionales de la Entidad.
2. Suministra información para la toma de decisiones.
3. Propone mejoras continuas en los procesos de la empresa.
4.Previene posibles fraudes y errores.
5.Genera transparencia en los procesos, planes y proyectos de la Entidad.
6. Identifica riesgos de la entidad.</v>
      </c>
      <c r="EZ19" s="149">
        <f t="shared" si="44"/>
        <v>45</v>
      </c>
      <c r="FA19" s="149">
        <f t="shared" si="44"/>
        <v>45</v>
      </c>
      <c r="FB19" s="149" t="str">
        <f t="shared" si="44"/>
        <v/>
      </c>
      <c r="FC19" s="149" t="str">
        <f t="shared" si="44"/>
        <v/>
      </c>
      <c r="FD19" s="149" t="str">
        <f t="shared" si="45"/>
        <v/>
      </c>
      <c r="FE19" s="149" t="str">
        <f t="shared" si="45"/>
        <v/>
      </c>
      <c r="FF19" s="149" t="str">
        <f t="shared" si="45"/>
        <v/>
      </c>
      <c r="FG19" s="149" t="str">
        <f t="shared" si="45"/>
        <v/>
      </c>
      <c r="FH19" s="149" t="str">
        <f t="shared" si="45"/>
        <v/>
      </c>
      <c r="FI19" s="149" t="str">
        <f t="shared" si="45"/>
        <v/>
      </c>
      <c r="FJ19" s="149" t="str">
        <f t="shared" si="45"/>
        <v/>
      </c>
      <c r="FK19" s="149" t="str">
        <f t="shared" si="45"/>
        <v/>
      </c>
      <c r="FL19" s="149" t="str">
        <f t="shared" si="45"/>
        <v/>
      </c>
      <c r="FM19" s="149" t="str">
        <f t="shared" si="45"/>
        <v/>
      </c>
      <c r="FN19" s="149" t="str">
        <f t="shared" si="46"/>
        <v/>
      </c>
      <c r="FO19" s="149" t="str">
        <f t="shared" si="46"/>
        <v/>
      </c>
      <c r="FP19" s="149" t="str">
        <f t="shared" si="46"/>
        <v/>
      </c>
      <c r="FQ19" s="149" t="str">
        <f t="shared" si="46"/>
        <v/>
      </c>
      <c r="FR19" s="149" t="str">
        <f t="shared" si="46"/>
        <v/>
      </c>
      <c r="FS19" s="149" t="str">
        <f t="shared" si="46"/>
        <v/>
      </c>
      <c r="FT19" s="149" t="str">
        <f t="shared" si="46"/>
        <v/>
      </c>
      <c r="FU19" s="149" t="str">
        <f t="shared" si="46"/>
        <v/>
      </c>
      <c r="FV19" s="149" t="str">
        <f t="shared" si="46"/>
        <v/>
      </c>
      <c r="FW19" s="149" t="str">
        <f t="shared" si="46"/>
        <v/>
      </c>
      <c r="FX19" s="149" t="str">
        <f t="shared" si="47"/>
        <v/>
      </c>
      <c r="FY19" s="149" t="str">
        <f t="shared" si="47"/>
        <v/>
      </c>
      <c r="FZ19" s="149" t="str">
        <f t="shared" si="47"/>
        <v/>
      </c>
      <c r="GA19" s="149" t="str">
        <f t="shared" si="47"/>
        <v/>
      </c>
      <c r="GB19" s="149" t="str">
        <f t="shared" si="47"/>
        <v/>
      </c>
      <c r="GC19" s="149" t="str">
        <f t="shared" si="47"/>
        <v/>
      </c>
      <c r="GD19" s="149" t="str">
        <f t="shared" si="47"/>
        <v/>
      </c>
      <c r="GE19" s="149" t="str">
        <f t="shared" si="47"/>
        <v/>
      </c>
      <c r="GF19" s="149">
        <f t="shared" si="33"/>
        <v>1</v>
      </c>
      <c r="GG19" s="149">
        <f t="shared" si="22"/>
        <v>1</v>
      </c>
      <c r="GH19" s="149">
        <f t="shared" si="23"/>
        <v>1</v>
      </c>
      <c r="GI19" s="149">
        <f t="shared" si="24"/>
        <v>1</v>
      </c>
      <c r="GJ19" s="149">
        <f t="shared" si="25"/>
        <v>1</v>
      </c>
      <c r="GK19" s="149">
        <f t="shared" si="34"/>
        <v>1</v>
      </c>
      <c r="GL19" s="149">
        <f t="shared" si="15"/>
        <v>13.333333333333334</v>
      </c>
      <c r="GM19" s="149">
        <f t="shared" si="16"/>
        <v>17.777777777777779</v>
      </c>
      <c r="GN19" s="149">
        <f t="shared" si="17"/>
        <v>13.333333333333334</v>
      </c>
      <c r="GO19" s="149">
        <f t="shared" si="18"/>
        <v>24.444444444444443</v>
      </c>
      <c r="GP19" s="149">
        <f t="shared" si="19"/>
        <v>22.222222222222221</v>
      </c>
      <c r="GQ19" s="149">
        <f t="shared" si="19"/>
        <v>8.8888888888888893</v>
      </c>
      <c r="GR19" s="153">
        <f t="shared" si="48"/>
        <v>100</v>
      </c>
      <c r="GS19" s="149">
        <f t="shared" si="37"/>
        <v>100</v>
      </c>
      <c r="GT19" s="149">
        <f>+IF(OR($A19=52,$A19=124),1,IFERROR(IF($X19="Creciente",IF($AB19="Número",SUM($GL19:GM19)/SUM($DO19:DP19)*($AX19-$AW19),SUM($GL19:GM19)/SUM($DO19:DP19))*($AX19-$AW19),IF($DG19="Creciente",GM19*GM19/GM19,IF(AND($DG19="Constante",$AB19="Porcentaje"),AVERAGEIF($GL19:GM19,"&lt;&gt;0")/AVERAGEIF($DO19:DP19,"&lt;&gt;0")*100,SUM($GL19:GM19)/SUM($DO19:DP19)*$DU19))),GS19))</f>
        <v>100</v>
      </c>
      <c r="GU19" s="149">
        <f>+IF(OR($A19=52,$A19=124),1,IFERROR(IF($X19="Creciente",IF($AB19="Número",SUM($GL19:GN19)/SUM($DO19:DQ19)*($AX19-$AW19),SUM($GL19:GN19)/SUM($DO19:DQ19))*($AX19-$AW19),IF($DG19="Creciente",GN19*GN19/GN19,IF(AND($DG19="Constante",$AB19="Porcentaje"),AVERAGEIF($GL19:GN19,"&lt;&gt;0")/AVERAGEIF($DO19:DQ19,"&lt;&gt;0")*100,SUM($GL19:GN19)/SUM($DO19:DQ19)*$DU19))),GT19))</f>
        <v>100</v>
      </c>
      <c r="GV19" s="149">
        <f>+IF(OR($A19=52,$A19=124),1,IFERROR(IF($X19="Creciente",IF($AB19="Número",SUM($GL19:GO19)/SUM($DO19:DR19)*($AX19-$AW19),SUM($GL19:GO19)/SUM($DO19:DR19))*($AX19-$AW19),IF($DG19="Creciente",GO19*GO19/GO19,IF(AND($DG19="Constante",$AB19="Porcentaje"),AVERAGEIF($GL19:GO19,"&lt;&gt;0")/AVERAGEIF($DO19:DR19,"&lt;&gt;0")*100,SUM($GL19:GO19)/SUM($DO19:DR19)*$DU19))),GU19))</f>
        <v>100</v>
      </c>
      <c r="GW19" s="149">
        <f>+IF(OR($A19=52,$A19=124),1,IFERROR(IF($X19="Creciente",IF($AB19="Número",SUM($GL19:GP19)/SUM($DO19:DS19)*($AX19-$AW19),SUM($GL19:GP19)/SUM($DO19:DS19))*($AX19-$AW19),IF($DG19="Creciente",GP19*GP19/GP19,IF(AND($DG19="Constante",$AB19="Porcentaje"),AVERAGEIF($GL19:GP19,"&lt;&gt;0")/AVERAGEIF($DO19:DS19,"&lt;&gt;0")*100,SUM($GL19:GP19)/SUM($DO19:DS19)*$DU19))),GV19))</f>
        <v>100</v>
      </c>
      <c r="GX19" s="149">
        <f>+IF(OR($A19=52,$A19=124),1,IFERROR(IF($X19="Creciente",IF($AB19="Número",SUM($GL19:GQ19)/SUM($DO19:DT19)*($AX19-$AW19),SUM($GL19:GQ19)/SUM($DO19:DT19))*($AX19-$AW19),IF($DG19="Creciente",GQ19*GQ19/GQ19,IF(AND($DG19="Constante",$AB19="Porcentaje"),AVERAGEIF($GL19:GQ19,"&lt;&gt;0")/AVERAGEIF($DO19:DT19,"&lt;&gt;0")*100,SUM($GL19:GQ19)/SUM($DO19:DT19)*$DU19))),GW19))</f>
        <v>100</v>
      </c>
      <c r="GY19" s="149" t="str">
        <f t="shared" si="28"/>
        <v>El indicador mide el grado de avance en la ejecución de las evaluaciones y seguimientos del Plan Anual de Auditorías realizados en el periodo, con respecto a la programación de la vigencia.</v>
      </c>
      <c r="GZ19" s="149" t="str">
        <f t="shared" si="29"/>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
      <c r="HA19" s="149" t="str">
        <f t="shared" si="30"/>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
      <c r="HB19" s="149" t="str">
        <f t="shared" si="31"/>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
      <c r="HC19" s="149" t="str">
        <f t="shared" si="39"/>
        <v>Cumple</v>
      </c>
      <c r="HD19" s="149" t="str">
        <f t="shared" si="39"/>
        <v>Cumplido</v>
      </c>
      <c r="HE19" s="149" t="str">
        <f t="shared" si="39"/>
        <v>Adecuado</v>
      </c>
      <c r="HF19" s="149" t="str">
        <f t="shared" si="39"/>
        <v>Coherente</v>
      </c>
      <c r="HG19" s="149" t="str">
        <f t="shared" si="39"/>
        <v>Concuerda</v>
      </c>
      <c r="HH19" s="149" t="str">
        <f t="shared" si="39"/>
        <v>Concuerda</v>
      </c>
      <c r="HI19" s="149" t="str">
        <f t="shared" si="39"/>
        <v>Relación directa</v>
      </c>
      <c r="HJ19" s="149" t="str">
        <f t="shared" si="39"/>
        <v>Adecuado</v>
      </c>
      <c r="HK19" s="149" t="str">
        <f t="shared" si="39"/>
        <v>Oportuna</v>
      </c>
      <c r="HL19" s="149" t="str">
        <f t="shared" si="39"/>
        <v>No se tienen observaciones.</v>
      </c>
      <c r="HM19" s="149" t="str">
        <f t="shared" si="40"/>
        <v>Cesar Arcos</v>
      </c>
      <c r="HN19" s="149" t="str">
        <f t="shared" si="40"/>
        <v>Cumple</v>
      </c>
      <c r="HO19" s="149" t="str">
        <f t="shared" si="40"/>
        <v>Cumplido</v>
      </c>
      <c r="HP19" s="149" t="str">
        <f t="shared" si="40"/>
        <v>Adecuado</v>
      </c>
      <c r="HQ19" s="149" t="str">
        <f t="shared" si="40"/>
        <v>Coherente</v>
      </c>
      <c r="HR19" s="149" t="str">
        <f t="shared" si="40"/>
        <v>Concuerda</v>
      </c>
      <c r="HS19" s="149" t="str">
        <f t="shared" si="40"/>
        <v>Concuerda</v>
      </c>
      <c r="HT19" s="149" t="str">
        <f t="shared" si="40"/>
        <v>Relación directa</v>
      </c>
      <c r="HU19" s="149" t="str">
        <f t="shared" si="40"/>
        <v>Adecuado</v>
      </c>
      <c r="HV19" s="149" t="str">
        <f t="shared" si="40"/>
        <v>Oportuna</v>
      </c>
      <c r="HW19" s="149" t="str">
        <f t="shared" si="40"/>
        <v>No se tienen observaciones.</v>
      </c>
      <c r="HX19" s="149" t="str">
        <f t="shared" si="40"/>
        <v>Cesar Arcos</v>
      </c>
    </row>
    <row r="20" spans="1:241" s="149" customFormat="1" x14ac:dyDescent="0.3">
      <c r="A20" s="145">
        <v>160</v>
      </c>
      <c r="B20" s="146" t="s">
        <v>1144</v>
      </c>
      <c r="C20" s="146" t="s">
        <v>1144</v>
      </c>
      <c r="D20" s="146" t="s">
        <v>1144</v>
      </c>
      <c r="E20" s="146" t="s">
        <v>1144</v>
      </c>
      <c r="F20" s="136" t="s">
        <v>1283</v>
      </c>
      <c r="G20" s="146" t="s">
        <v>1144</v>
      </c>
      <c r="H20" s="146" t="s">
        <v>1144</v>
      </c>
      <c r="I20" s="135" t="s">
        <v>1146</v>
      </c>
      <c r="J20" s="154" t="s">
        <v>163</v>
      </c>
      <c r="K20" s="154" t="s">
        <v>164</v>
      </c>
      <c r="L20" s="154" t="s">
        <v>165</v>
      </c>
      <c r="M20" s="154" t="s">
        <v>1201</v>
      </c>
      <c r="N20" s="154" t="s">
        <v>1222</v>
      </c>
      <c r="O20" s="154" t="s">
        <v>1284</v>
      </c>
      <c r="P20" s="148" t="s">
        <v>1283</v>
      </c>
      <c r="Q20" s="154" t="s">
        <v>1285</v>
      </c>
      <c r="R20" s="154" t="s">
        <v>1286</v>
      </c>
      <c r="S20" s="154" t="s">
        <v>1287</v>
      </c>
      <c r="T20" s="154" t="s">
        <v>1288</v>
      </c>
      <c r="U20" s="154">
        <v>0</v>
      </c>
      <c r="V20" s="154" t="s">
        <v>1289</v>
      </c>
      <c r="W20" s="148" t="s">
        <v>638</v>
      </c>
      <c r="X20" s="154" t="s">
        <v>638</v>
      </c>
      <c r="Y20" s="154" t="s">
        <v>1290</v>
      </c>
      <c r="Z20" s="154" t="s">
        <v>1291</v>
      </c>
      <c r="AA20" s="154" t="s">
        <v>1292</v>
      </c>
      <c r="AB20" s="154" t="s">
        <v>639</v>
      </c>
      <c r="AC20" s="154" t="s">
        <v>1293</v>
      </c>
      <c r="AD20" s="154" t="s">
        <v>1160</v>
      </c>
      <c r="AE20" s="154">
        <v>2016</v>
      </c>
      <c r="AF20" s="154">
        <v>0</v>
      </c>
      <c r="AG20" s="154">
        <v>2016</v>
      </c>
      <c r="AH20" s="154">
        <v>0</v>
      </c>
      <c r="AI20" s="154">
        <v>100</v>
      </c>
      <c r="AJ20" s="154">
        <v>100</v>
      </c>
      <c r="AK20" s="154">
        <v>100</v>
      </c>
      <c r="AL20" s="157">
        <v>52</v>
      </c>
      <c r="AM20" s="154">
        <v>0</v>
      </c>
      <c r="AN20" s="146" t="s">
        <v>1144</v>
      </c>
      <c r="AO20" s="146" t="s">
        <v>1144</v>
      </c>
      <c r="AP20" s="146" t="s">
        <v>1144</v>
      </c>
      <c r="AQ20" s="146" t="s">
        <v>1144</v>
      </c>
      <c r="AR20" s="146" t="s">
        <v>1144</v>
      </c>
      <c r="AS20" s="150" t="s">
        <v>1144</v>
      </c>
      <c r="AT20" s="156">
        <v>0</v>
      </c>
      <c r="AU20" s="156">
        <v>100</v>
      </c>
      <c r="AV20" s="156">
        <v>100</v>
      </c>
      <c r="AW20" s="156">
        <v>100</v>
      </c>
      <c r="AX20" s="158">
        <v>52</v>
      </c>
      <c r="AY20" s="156">
        <v>0</v>
      </c>
      <c r="BD20" s="149">
        <v>0</v>
      </c>
      <c r="BJ20" s="149">
        <v>0</v>
      </c>
      <c r="BK20" s="146" t="s">
        <v>1144</v>
      </c>
      <c r="BL20" s="146" t="s">
        <v>1144</v>
      </c>
      <c r="BM20" s="146" t="s">
        <v>1144</v>
      </c>
      <c r="BN20" s="146" t="s">
        <v>1144</v>
      </c>
      <c r="BO20" s="146" t="s">
        <v>1144</v>
      </c>
      <c r="BP20" s="146" t="s">
        <v>1144</v>
      </c>
      <c r="BQ20" s="146" t="s">
        <v>1144</v>
      </c>
      <c r="BR20" s="146" t="s">
        <v>1144</v>
      </c>
      <c r="BS20" s="146" t="s">
        <v>1144</v>
      </c>
      <c r="BT20" s="146" t="s">
        <v>1144</v>
      </c>
      <c r="BU20" s="146" t="s">
        <v>1144</v>
      </c>
      <c r="BV20" s="146" t="s">
        <v>1144</v>
      </c>
      <c r="BW20" s="154" t="s">
        <v>1144</v>
      </c>
      <c r="BX20" s="154" t="s">
        <v>1144</v>
      </c>
      <c r="BY20" s="154" t="s">
        <v>1144</v>
      </c>
      <c r="BZ20" s="154">
        <v>1</v>
      </c>
      <c r="CA20" s="154" t="s">
        <v>1144</v>
      </c>
      <c r="CB20" s="154" t="s">
        <v>1144</v>
      </c>
      <c r="CC20" s="154" t="s">
        <v>1144</v>
      </c>
      <c r="CD20" s="154">
        <v>1</v>
      </c>
      <c r="CE20" s="154" t="s">
        <v>228</v>
      </c>
      <c r="CF20" s="154" t="s">
        <v>1144</v>
      </c>
      <c r="CG20" s="154" t="s">
        <v>1144</v>
      </c>
      <c r="CH20" s="154" t="s">
        <v>1144</v>
      </c>
      <c r="CI20" s="154" t="s">
        <v>1144</v>
      </c>
      <c r="CJ20" s="154" t="s">
        <v>1144</v>
      </c>
      <c r="CK20" s="154" t="s">
        <v>1144</v>
      </c>
      <c r="CL20" s="154" t="s">
        <v>1144</v>
      </c>
      <c r="CM20" s="154" t="s">
        <v>1144</v>
      </c>
      <c r="CN20" s="154" t="s">
        <v>1144</v>
      </c>
      <c r="CO20" s="154" t="s">
        <v>1144</v>
      </c>
      <c r="CP20" s="154" t="s">
        <v>1144</v>
      </c>
      <c r="CQ20" s="154" t="s">
        <v>1144</v>
      </c>
      <c r="CR20" s="154" t="s">
        <v>1144</v>
      </c>
      <c r="CS20" s="154" t="s">
        <v>1144</v>
      </c>
      <c r="CT20" s="154" t="s">
        <v>1144</v>
      </c>
      <c r="CU20" s="154" t="s">
        <v>1144</v>
      </c>
      <c r="CV20" s="154" t="s">
        <v>1144</v>
      </c>
      <c r="CW20" s="154" t="s">
        <v>1144</v>
      </c>
      <c r="CX20" s="154" t="s">
        <v>1144</v>
      </c>
      <c r="CY20" s="154" t="s">
        <v>1144</v>
      </c>
      <c r="CZ20" s="154" t="s">
        <v>1144</v>
      </c>
      <c r="DA20" s="154" t="s">
        <v>1144</v>
      </c>
      <c r="DB20" s="152" t="str">
        <f t="shared" si="32"/>
        <v xml:space="preserve">Plan de Acción, SGC, PROCESO: Control Disciplinario, </v>
      </c>
      <c r="DC20" s="149" t="str">
        <f t="shared" si="41"/>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
      <c r="DD20" s="149" t="str">
        <f t="shared" si="41"/>
        <v>Acciones disciplinarias correspondientes</v>
      </c>
      <c r="DE20" s="149" t="str">
        <f t="shared" si="41"/>
        <v>El beneficio de este indicador es que los funcionarios que tengan a cargo el expediente del proceso disciplinario avancen en las etapas respectivas del proceso.</v>
      </c>
      <c r="DF20" s="149" t="str">
        <f t="shared" si="41"/>
        <v>Listado de autos proferidos en el periodo.</v>
      </c>
      <c r="DG20" s="149" t="str">
        <f t="shared" si="41"/>
        <v>Suma</v>
      </c>
      <c r="DH20" s="149">
        <f t="shared" si="2"/>
        <v>52</v>
      </c>
      <c r="DI20" s="149">
        <f t="shared" si="3"/>
        <v>12</v>
      </c>
      <c r="DJ20" s="149">
        <f t="shared" si="4"/>
        <v>8</v>
      </c>
      <c r="DK20" s="149">
        <f t="shared" si="5"/>
        <v>8</v>
      </c>
      <c r="DL20" s="149">
        <f t="shared" si="6"/>
        <v>8</v>
      </c>
      <c r="DM20" s="149">
        <f t="shared" si="7"/>
        <v>8</v>
      </c>
      <c r="DN20" s="149">
        <f t="shared" si="36"/>
        <v>8</v>
      </c>
      <c r="DO20" s="149">
        <f t="shared" si="38"/>
        <v>12</v>
      </c>
      <c r="DP20" s="149">
        <f t="shared" si="38"/>
        <v>8</v>
      </c>
      <c r="DQ20" s="149">
        <f t="shared" si="38"/>
        <v>8</v>
      </c>
      <c r="DR20" s="149">
        <f t="shared" si="38"/>
        <v>8</v>
      </c>
      <c r="DS20" s="149">
        <f t="shared" si="38"/>
        <v>8</v>
      </c>
      <c r="DT20" s="149">
        <f t="shared" si="38"/>
        <v>8</v>
      </c>
      <c r="DU20" s="149">
        <f t="shared" si="42"/>
        <v>52</v>
      </c>
      <c r="DV20" s="149">
        <f t="shared" si="42"/>
        <v>13</v>
      </c>
      <c r="DW20" s="149">
        <f t="shared" si="42"/>
        <v>0</v>
      </c>
      <c r="DX20" s="149" t="str">
        <f t="shared" si="42"/>
        <v>Se emitieron 13 autos, con las siguientes decisiones; 5 autos de archivo,  1 auto inhibitorio, 2 autos de apertura de investigacion disciplinaria, 1 auto de pliego de cargos,  4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DY20" s="149" t="str">
        <f t="shared" si="42"/>
        <v>La meta del indicador se cumplio.</v>
      </c>
      <c r="DZ20" s="149" t="str">
        <f t="shared" si="42"/>
        <v>Adelantar y sustanciar con celeridad, eficiencia y oportunidad, las decisiones de cada una de las etapas del proceso disciplinario.</v>
      </c>
      <c r="EA20" s="149">
        <f t="shared" si="42"/>
        <v>12</v>
      </c>
      <c r="EB20" s="149">
        <f t="shared" si="42"/>
        <v>0</v>
      </c>
      <c r="EC20" s="149" t="str">
        <f t="shared" si="42"/>
        <v>Se emitieron 12 autos, con las siguientes decisiones; 9 autos de archivo,  1 auto de apertura de investigacion disciplinaria, 2 auto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ED20" s="149" t="str">
        <f t="shared" si="42"/>
        <v>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v>
      </c>
      <c r="EE20" s="149" t="str">
        <f t="shared" si="43"/>
        <v>Adelantar y sustanciar con celeridad, eficiencia y oportunidad, las decisiones de cada una de las etapas del proceso disciplinario.</v>
      </c>
      <c r="EF20" s="149">
        <f t="shared" si="43"/>
        <v>9</v>
      </c>
      <c r="EG20" s="149">
        <f t="shared" si="43"/>
        <v>0</v>
      </c>
      <c r="EH20" s="149" t="str">
        <f t="shared" si="43"/>
        <v>Se emitieron 9 autos, con las siguientes decisiones; 2 autos de archivo,  3 autos de apertura de investigacion disciplinaria, 2 autos de apertura de indagacion preliminar, 1 auto declarando desierto el recurso de apelacion, 1 fallo de primera instancia.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EI20" s="149" t="str">
        <f t="shared" si="43"/>
        <v>La meta del indicador se cumplio.</v>
      </c>
      <c r="EJ20" s="149" t="str">
        <f t="shared" si="43"/>
        <v>Adelantar y sustanciar con celeridad, eficiencia y oportunidad, las decisiones de cada una de las etapas del proceso disciplinario.</v>
      </c>
      <c r="EK20" s="149">
        <f t="shared" si="43"/>
        <v>11</v>
      </c>
      <c r="EL20" s="149">
        <f t="shared" si="43"/>
        <v>0</v>
      </c>
      <c r="EM20" s="149" t="str">
        <f t="shared" si="43"/>
        <v>Se emitieron 11 autos, con las siguientes decisiones; 2 autos de archivo,  1 auto de nulidad, 2 autos inhibitorio, 6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EN20" s="149" t="str">
        <f t="shared" si="43"/>
        <v>La meta del indicador se cumplio.</v>
      </c>
      <c r="EO20" s="149" t="str">
        <f t="shared" si="44"/>
        <v>Adelantar y sustanciar con celeridad, eficiencia y oportunidad, las decisiones de cada una de las etapas del proceso disciplinario.</v>
      </c>
      <c r="EP20" s="149">
        <f t="shared" si="44"/>
        <v>8</v>
      </c>
      <c r="EQ20" s="149">
        <f t="shared" si="44"/>
        <v>0</v>
      </c>
      <c r="ER20" s="149" t="str">
        <f t="shared" si="44"/>
        <v>Se emitieron 8 autos, con las siguientes decisiones; 8 autos de apertura de indagacion preliminar. Cada profesional responsable de adelantar y sustanciar la actuacion disciplinaria, proyecta el auto interlocutorio de cada proceso que tenga a cargo, según la etapa en que se encuentre y prioriza los procesos que estan proximos a vencer; posteriormente cada auto  es revisado y suscrito por la Jefe de la Oficina. El seguimiento a esta gestion se realiza en la reunion mensual del Subcomite de autocontrol.</v>
      </c>
      <c r="ES20" s="149" t="str">
        <f t="shared" si="44"/>
        <v>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v>
      </c>
      <c r="ET20" s="149" t="str">
        <f t="shared" si="44"/>
        <v>Adelantar y sustanciar con celeridad, eficiencia y oportunidad, las decisiones de cada una de las etapas del proceso disciplinario.</v>
      </c>
      <c r="EU20" s="149">
        <f t="shared" si="11"/>
        <v>8</v>
      </c>
      <c r="EV20" s="149">
        <f t="shared" si="11"/>
        <v>0</v>
      </c>
      <c r="EW20" s="149" t="str">
        <f t="shared" si="11"/>
        <v xml:space="preserve">De los 57 expedientes en curso, 57 se encontraban con etapa procesal en terminos.La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EX20" s="149" t="str">
        <f t="shared" si="11"/>
        <v>La meta del indicador se cumplio; no obstante, es necesario mencionar que se presento  el retiro de un funcionario, lo cual es un factor que dificulta el normal desarrollo de las funciones de la Oficina, especificamente en la emision de los autos; caso en el cual se reasignan los procesos entre los abogados de la oficina y se priorizan los procesos que esten proximos a vencer, con el fin de garantizar el cumplimiento  de la meta.</v>
      </c>
      <c r="EY20" s="149" t="str">
        <f t="shared" si="11"/>
        <v>Adelantar y sustanciar con celeridad, eficiencia y oportunidad, las decisiones de cada una de las etapas del proceso disciplinario.</v>
      </c>
      <c r="EZ20" s="149">
        <f t="shared" si="44"/>
        <v>61</v>
      </c>
      <c r="FA20" s="149">
        <f t="shared" si="44"/>
        <v>0</v>
      </c>
      <c r="FB20" s="149" t="str">
        <f t="shared" si="44"/>
        <v/>
      </c>
      <c r="FC20" s="149" t="str">
        <f t="shared" si="44"/>
        <v/>
      </c>
      <c r="FD20" s="149" t="str">
        <f t="shared" si="45"/>
        <v/>
      </c>
      <c r="FE20" s="149" t="str">
        <f t="shared" si="45"/>
        <v/>
      </c>
      <c r="FF20" s="149" t="str">
        <f t="shared" si="45"/>
        <v/>
      </c>
      <c r="FG20" s="149" t="str">
        <f t="shared" si="45"/>
        <v/>
      </c>
      <c r="FH20" s="149" t="str">
        <f t="shared" si="45"/>
        <v/>
      </c>
      <c r="FI20" s="149" t="str">
        <f t="shared" si="45"/>
        <v/>
      </c>
      <c r="FJ20" s="149" t="str">
        <f t="shared" si="45"/>
        <v/>
      </c>
      <c r="FK20" s="149" t="str">
        <f t="shared" si="45"/>
        <v/>
      </c>
      <c r="FL20" s="149" t="str">
        <f t="shared" si="45"/>
        <v/>
      </c>
      <c r="FM20" s="149" t="str">
        <f t="shared" si="45"/>
        <v/>
      </c>
      <c r="FN20" s="149" t="str">
        <f t="shared" si="46"/>
        <v/>
      </c>
      <c r="FO20" s="149" t="str">
        <f t="shared" si="46"/>
        <v/>
      </c>
      <c r="FP20" s="149" t="str">
        <f t="shared" si="46"/>
        <v/>
      </c>
      <c r="FQ20" s="149" t="str">
        <f t="shared" si="46"/>
        <v/>
      </c>
      <c r="FR20" s="149" t="str">
        <f t="shared" si="46"/>
        <v/>
      </c>
      <c r="FS20" s="149" t="str">
        <f t="shared" si="46"/>
        <v/>
      </c>
      <c r="FT20" s="149" t="str">
        <f t="shared" si="46"/>
        <v/>
      </c>
      <c r="FU20" s="149" t="str">
        <f t="shared" si="46"/>
        <v/>
      </c>
      <c r="FV20" s="149" t="str">
        <f t="shared" si="46"/>
        <v/>
      </c>
      <c r="FW20" s="149" t="str">
        <f t="shared" si="46"/>
        <v/>
      </c>
      <c r="FX20" s="149" t="str">
        <f t="shared" si="47"/>
        <v/>
      </c>
      <c r="FY20" s="149" t="str">
        <f t="shared" si="47"/>
        <v/>
      </c>
      <c r="FZ20" s="149" t="str">
        <f t="shared" si="47"/>
        <v/>
      </c>
      <c r="GA20" s="149" t="str">
        <f t="shared" si="47"/>
        <v/>
      </c>
      <c r="GB20" s="149" t="str">
        <f t="shared" si="47"/>
        <v/>
      </c>
      <c r="GC20" s="149" t="str">
        <f t="shared" si="47"/>
        <v/>
      </c>
      <c r="GD20" s="149" t="str">
        <f t="shared" si="47"/>
        <v/>
      </c>
      <c r="GE20" s="149" t="str">
        <f t="shared" si="47"/>
        <v/>
      </c>
      <c r="GF20" s="149">
        <f t="shared" si="33"/>
        <v>1.0833333333333333</v>
      </c>
      <c r="GG20" s="149">
        <f t="shared" si="22"/>
        <v>1.5</v>
      </c>
      <c r="GH20" s="149">
        <f t="shared" si="23"/>
        <v>1.125</v>
      </c>
      <c r="GI20" s="149">
        <f t="shared" si="24"/>
        <v>1.375</v>
      </c>
      <c r="GJ20" s="149">
        <f t="shared" si="25"/>
        <v>1</v>
      </c>
      <c r="GK20" s="149">
        <f t="shared" si="34"/>
        <v>61</v>
      </c>
      <c r="GL20" s="149">
        <f t="shared" si="15"/>
        <v>25</v>
      </c>
      <c r="GM20" s="149">
        <f t="shared" si="16"/>
        <v>23.076923076923077</v>
      </c>
      <c r="GN20" s="149">
        <f t="shared" si="17"/>
        <v>17.307692307692307</v>
      </c>
      <c r="GO20" s="149">
        <f t="shared" si="18"/>
        <v>21.153846153846153</v>
      </c>
      <c r="GP20" s="149">
        <f t="shared" si="19"/>
        <v>15.384615384615385</v>
      </c>
      <c r="GQ20" s="149">
        <f t="shared" si="19"/>
        <v>15.384615384615385</v>
      </c>
      <c r="GR20" s="153">
        <f t="shared" si="48"/>
        <v>117.30769230769232</v>
      </c>
      <c r="GS20" s="149">
        <f t="shared" si="37"/>
        <v>108.33333333333334</v>
      </c>
      <c r="GT20" s="149">
        <f>+IF(OR($A20=52,$A20=124),1,IFERROR(IF($X20="Creciente",IF($AB20="Número",SUM($GL20:GM20)/SUM($DO20:DP20)*($AX20-$AW20),SUM($GL20:GM20)/SUM($DO20:DP20))*($AX20-$AW20),IF($DG20="Creciente",GM20*GM20/GM20,IF(AND($DG20="Constante",$AB20="Porcentaje"),AVERAGEIF($GL20:GM20,"&lt;&gt;0")/AVERAGEIF($DO20:DP20,"&lt;&gt;0")*100,SUM($GL20:GM20)/SUM($DO20:DP20)*$DU20))),GS20))</f>
        <v>125.00000000000001</v>
      </c>
      <c r="GU20" s="149">
        <f>+IF(OR($A20=52,$A20=124),1,IFERROR(IF($X20="Creciente",IF($AB20="Número",SUM($GL20:GN20)/SUM($DO20:DQ20)*($AX20-$AW20),SUM($GL20:GN20)/SUM($DO20:DQ20))*($AX20-$AW20),IF($DG20="Creciente",GN20*GN20/GN20,IF(AND($DG20="Constante",$AB20="Porcentaje"),AVERAGEIF($GL20:GN20,"&lt;&gt;0")/AVERAGEIF($DO20:DQ20,"&lt;&gt;0")*100,SUM($GL20:GN20)/SUM($DO20:DQ20)*$DU20))),GT20))</f>
        <v>121.42857142857143</v>
      </c>
      <c r="GV20" s="149">
        <f>+IF(OR($A20=52,$A20=124),1,IFERROR(IF($X20="Creciente",IF($AB20="Número",SUM($GL20:GO20)/SUM($DO20:DR20)*($AX20-$AW20),SUM($GL20:GO20)/SUM($DO20:DR20))*($AX20-$AW20),IF($DG20="Creciente",GO20*GO20/GO20,IF(AND($DG20="Constante",$AB20="Porcentaje"),AVERAGEIF($GL20:GO20,"&lt;&gt;0")/AVERAGEIF($DO20:DR20,"&lt;&gt;0")*100,SUM($GL20:GO20)/SUM($DO20:DR20)*$DU20))),GU20))</f>
        <v>125.00000000000001</v>
      </c>
      <c r="GW20" s="149">
        <f>+IF(OR($A20=52,$A20=124),1,IFERROR(IF($X20="Creciente",IF($AB20="Número",SUM($GL20:GP20)/SUM($DO20:DS20)*($AX20-$AW20),SUM($GL20:GP20)/SUM($DO20:DS20))*($AX20-$AW20),IF($DG20="Creciente",GP20*GP20/GP20,IF(AND($DG20="Constante",$AB20="Porcentaje"),AVERAGEIF($GL20:GP20,"&lt;&gt;0")/AVERAGEIF($DO20:DS20,"&lt;&gt;0")*100,SUM($GL20:GP20)/SUM($DO20:DS20)*$DU20))),GV20))</f>
        <v>120.45454545454547</v>
      </c>
      <c r="GX20" s="149">
        <f>+IF(OR($A20=52,$A20=124),1,IFERROR(IF($X20="Creciente",IF($AB20="Número",SUM($GL20:GQ20)/SUM($DO20:DT20)*($AX20-$AW20),SUM($GL20:GQ20)/SUM($DO20:DT20))*($AX20-$AW20),IF($DG20="Creciente",GQ20*GQ20/GQ20,IF(AND($DG20="Constante",$AB20="Porcentaje"),AVERAGEIF($GL20:GQ20,"&lt;&gt;0")/AVERAGEIF($DO20:DT20,"&lt;&gt;0")*100,SUM($GL20:GQ20)/SUM($DO20:DT20)*$DU20))),GW20))</f>
        <v>117.30769230769232</v>
      </c>
      <c r="GY20" s="149" t="str">
        <f t="shared" si="28"/>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
      <c r="GZ20" s="149" t="str">
        <f t="shared" si="29"/>
        <v>Acciones disciplinarias correspondientes</v>
      </c>
      <c r="HA20" s="149" t="str">
        <f t="shared" si="30"/>
        <v>El beneficio de este indicador es que los funcionarios que tengan a cargo el expediente del proceso disciplinario avancen en las etapas respectivas del proceso.</v>
      </c>
      <c r="HB20" s="149" t="str">
        <f t="shared" si="31"/>
        <v>Listado de autos proferidos en el periodo.</v>
      </c>
      <c r="HC20" s="149" t="str">
        <f t="shared" si="39"/>
        <v>Cumple</v>
      </c>
      <c r="HD20" s="149" t="str">
        <f t="shared" si="39"/>
        <v>Anticipado</v>
      </c>
      <c r="HE20" s="149" t="str">
        <f t="shared" si="39"/>
        <v>Adecuado</v>
      </c>
      <c r="HF20" s="149" t="str">
        <f t="shared" si="39"/>
        <v>Coherente</v>
      </c>
      <c r="HG20" s="149" t="str">
        <f t="shared" si="39"/>
        <v>Concuerda</v>
      </c>
      <c r="HH20" s="149" t="str">
        <f t="shared" si="39"/>
        <v>Concuerda</v>
      </c>
      <c r="HI20" s="149" t="str">
        <f t="shared" si="39"/>
        <v>Relación directa</v>
      </c>
      <c r="HJ20" s="149" t="str">
        <f t="shared" si="39"/>
        <v>Adecuado</v>
      </c>
      <c r="HK20" s="149" t="str">
        <f t="shared" si="39"/>
        <v>Oportuna</v>
      </c>
      <c r="HL20" s="149" t="str">
        <f t="shared" si="39"/>
        <v>No se tienen observaciones.</v>
      </c>
      <c r="HM20" s="149" t="str">
        <f t="shared" si="40"/>
        <v>Cesar Arcos</v>
      </c>
      <c r="HN20" s="149" t="str">
        <f t="shared" si="40"/>
        <v>Cumple</v>
      </c>
      <c r="HO20" s="149" t="str">
        <f t="shared" si="40"/>
        <v>Cumplido</v>
      </c>
      <c r="HP20" s="149" t="str">
        <f t="shared" si="40"/>
        <v>Adecuado</v>
      </c>
      <c r="HQ20" s="149" t="str">
        <f t="shared" si="40"/>
        <v>Incoherente</v>
      </c>
      <c r="HR20" s="149" t="str">
        <f t="shared" si="40"/>
        <v>Difiere</v>
      </c>
      <c r="HS20" s="149" t="str">
        <f t="shared" si="40"/>
        <v>Concuerda</v>
      </c>
      <c r="HT20" s="149" t="str">
        <f t="shared" si="40"/>
        <v>Relación directa</v>
      </c>
      <c r="HU20" s="149" t="str">
        <f t="shared" si="40"/>
        <v>Adecuado</v>
      </c>
      <c r="HV20" s="149" t="str">
        <f t="shared" si="40"/>
        <v>Oportuna</v>
      </c>
      <c r="HW20" s="149" t="str">
        <f t="shared" si="40"/>
        <v>C4 y C5. El avance reportado en la gestión corresponde al indicador 160B, lo cuál fue notificado por el lider del proceso mediante correo electrónico del 14 de julio.</v>
      </c>
      <c r="HX20" s="149" t="str">
        <f t="shared" si="40"/>
        <v>Cesar Arcos</v>
      </c>
    </row>
    <row r="21" spans="1:241" s="149" customFormat="1" x14ac:dyDescent="0.3">
      <c r="A21" s="145" t="s">
        <v>346</v>
      </c>
      <c r="B21" s="146" t="s">
        <v>1144</v>
      </c>
      <c r="C21" s="146" t="s">
        <v>1144</v>
      </c>
      <c r="D21" s="146" t="s">
        <v>1144</v>
      </c>
      <c r="E21" s="146" t="s">
        <v>1144</v>
      </c>
      <c r="F21" s="136" t="s">
        <v>1294</v>
      </c>
      <c r="G21" s="146" t="s">
        <v>1144</v>
      </c>
      <c r="H21" s="146" t="s">
        <v>1144</v>
      </c>
      <c r="I21" s="135" t="s">
        <v>1146</v>
      </c>
      <c r="J21" s="154" t="s">
        <v>163</v>
      </c>
      <c r="K21" s="154" t="s">
        <v>164</v>
      </c>
      <c r="L21" s="154" t="s">
        <v>165</v>
      </c>
      <c r="M21" s="154" t="s">
        <v>1201</v>
      </c>
      <c r="N21" s="154" t="s">
        <v>1222</v>
      </c>
      <c r="O21" s="154" t="s">
        <v>1284</v>
      </c>
      <c r="P21" s="148" t="s">
        <v>1294</v>
      </c>
      <c r="Q21" s="154" t="s">
        <v>1295</v>
      </c>
      <c r="R21" s="154" t="s">
        <v>1296</v>
      </c>
      <c r="S21" s="154" t="s">
        <v>1297</v>
      </c>
      <c r="T21" s="154" t="s">
        <v>1298</v>
      </c>
      <c r="U21" s="154" t="s">
        <v>1299</v>
      </c>
      <c r="V21" s="154" t="s">
        <v>1300</v>
      </c>
      <c r="W21" s="148" t="s">
        <v>601</v>
      </c>
      <c r="X21" s="154" t="s">
        <v>601</v>
      </c>
      <c r="Y21" s="166"/>
      <c r="Z21" s="154" t="s">
        <v>1301</v>
      </c>
      <c r="AA21" s="154" t="s">
        <v>1302</v>
      </c>
      <c r="AB21" s="154" t="s">
        <v>602</v>
      </c>
      <c r="AC21" s="154" t="s">
        <v>1303</v>
      </c>
      <c r="AD21" s="154" t="s">
        <v>1160</v>
      </c>
      <c r="AE21" s="154">
        <v>2018</v>
      </c>
      <c r="AF21" s="154"/>
      <c r="AG21" s="154">
        <v>2018</v>
      </c>
      <c r="AH21" s="118" t="s">
        <v>1161</v>
      </c>
      <c r="AI21" s="118" t="s">
        <v>1161</v>
      </c>
      <c r="AJ21" s="118" t="s">
        <v>1161</v>
      </c>
      <c r="AK21" s="154">
        <v>1</v>
      </c>
      <c r="AL21" s="159">
        <v>100</v>
      </c>
      <c r="AM21" s="154" t="s">
        <v>1161</v>
      </c>
      <c r="AN21" s="146" t="s">
        <v>1144</v>
      </c>
      <c r="AO21" s="146" t="s">
        <v>1144</v>
      </c>
      <c r="AP21" s="146" t="s">
        <v>1144</v>
      </c>
      <c r="AQ21" s="146" t="s">
        <v>1144</v>
      </c>
      <c r="AR21" s="146" t="s">
        <v>1144</v>
      </c>
      <c r="AS21" s="150" t="s">
        <v>1144</v>
      </c>
      <c r="AT21" s="229" t="s">
        <v>1161</v>
      </c>
      <c r="AU21" s="229" t="s">
        <v>1161</v>
      </c>
      <c r="AV21" s="229" t="s">
        <v>1161</v>
      </c>
      <c r="AW21" s="232">
        <v>1</v>
      </c>
      <c r="AX21" s="233">
        <v>100</v>
      </c>
      <c r="AY21" s="232" t="s">
        <v>1161</v>
      </c>
      <c r="BD21" s="149">
        <v>0</v>
      </c>
      <c r="BJ21" s="149">
        <v>0</v>
      </c>
      <c r="BK21" s="146" t="s">
        <v>1144</v>
      </c>
      <c r="BL21" s="146" t="s">
        <v>1144</v>
      </c>
      <c r="BM21" s="146" t="s">
        <v>1144</v>
      </c>
      <c r="BN21" s="146" t="s">
        <v>1144</v>
      </c>
      <c r="BO21" s="146" t="s">
        <v>1144</v>
      </c>
      <c r="BP21" s="146" t="s">
        <v>1144</v>
      </c>
      <c r="BQ21" s="146" t="s">
        <v>1144</v>
      </c>
      <c r="BR21" s="146" t="s">
        <v>1144</v>
      </c>
      <c r="BS21" s="146" t="s">
        <v>1144</v>
      </c>
      <c r="BT21" s="146" t="s">
        <v>1144</v>
      </c>
      <c r="BU21" s="146" t="s">
        <v>1144</v>
      </c>
      <c r="BV21" s="146" t="s">
        <v>1144</v>
      </c>
      <c r="BW21" s="154" t="s">
        <v>1144</v>
      </c>
      <c r="BX21" s="154" t="s">
        <v>1144</v>
      </c>
      <c r="BY21" s="154" t="s">
        <v>1144</v>
      </c>
      <c r="BZ21" s="154">
        <v>1</v>
      </c>
      <c r="CA21" s="154" t="s">
        <v>1144</v>
      </c>
      <c r="CB21" s="154" t="s">
        <v>1144</v>
      </c>
      <c r="CC21" s="154" t="s">
        <v>1144</v>
      </c>
      <c r="CD21" s="154">
        <v>1</v>
      </c>
      <c r="CE21" s="154" t="s">
        <v>228</v>
      </c>
      <c r="CF21" s="154" t="s">
        <v>1144</v>
      </c>
      <c r="CG21" s="154" t="s">
        <v>1144</v>
      </c>
      <c r="CH21" s="154" t="s">
        <v>1144</v>
      </c>
      <c r="CI21" s="154" t="s">
        <v>1144</v>
      </c>
      <c r="CJ21" s="154" t="s">
        <v>1144</v>
      </c>
      <c r="CK21" s="154" t="s">
        <v>1144</v>
      </c>
      <c r="CL21" s="154" t="s">
        <v>1144</v>
      </c>
      <c r="CM21" s="154" t="s">
        <v>1144</v>
      </c>
      <c r="CN21" s="154" t="s">
        <v>1144</v>
      </c>
      <c r="CO21" s="154" t="s">
        <v>1144</v>
      </c>
      <c r="CP21" s="154" t="s">
        <v>1144</v>
      </c>
      <c r="CQ21" s="154" t="s">
        <v>1144</v>
      </c>
      <c r="CR21" s="154" t="s">
        <v>1144</v>
      </c>
      <c r="CS21" s="154" t="s">
        <v>1144</v>
      </c>
      <c r="CT21" s="154" t="s">
        <v>1144</v>
      </c>
      <c r="CU21" s="154" t="s">
        <v>1144</v>
      </c>
      <c r="CV21" s="154" t="s">
        <v>1144</v>
      </c>
      <c r="CW21" s="154" t="s">
        <v>1144</v>
      </c>
      <c r="CX21" s="154" t="s">
        <v>1144</v>
      </c>
      <c r="CY21" s="154" t="s">
        <v>1144</v>
      </c>
      <c r="CZ21" s="154" t="s">
        <v>1144</v>
      </c>
      <c r="DA21" s="154" t="s">
        <v>1144</v>
      </c>
      <c r="DB21" s="152" t="str">
        <f>IF(BW21="No Aplica","",$BW$5)&amp;IF(BX21="No Aplica","",$BX$5)&amp;IF(BY21="No Aplica","",$BY$5)&amp;IF(BZ21="No Aplica","",$BZ$5)&amp;IF(CA21="No Aplica","",$CA$5)&amp;IF(CB21="No Aplica","",CB21&amp;" ")&amp;IF(CC21="No Aplica","",CC21&amp;", ")&amp;IF(CD21="No Aplica","",$CD$5)&amp;IF(CE21="No Aplica","",$CE$5&amp;CE21&amp;", ")&amp;IF(CF21="No Aplica","",$CF$5)&amp;IF(CG21="No Aplica","",$CG$5)&amp;IF(CH21="No Aplica","",$CH$5)&amp;IF(CI21="No Aplica","",$CI$5)&amp;IF(CJ21="No Aplica","",$CJ$5)&amp;IF(CK21="No Aplica","",$CK$5)&amp;IF(CL21="No Aplica","",$CL$5)&amp;IF(CM21="No Aplica","",$CM$5)&amp;IF(CN21="No Aplica","",$CN$5)&amp;IF(CO21="No Aplica","",$CO$5)&amp;IF(CP21="No Aplica","",$CP$5)&amp;IF(CQ21="No Aplica","",$CQ$5)&amp;IF(CR21="No Aplica","",$CR$5)&amp;IF(CS21="No Aplica","",$CS$5)&amp;IF(CT21="No Aplica","",$CT$5)&amp;IF(CU21="No Aplica","",$CU$5)&amp;IF(CV21="No Aplica","",$CV$5)&amp;IF(CW21="No Aplica","",CW21&amp;", ")&amp;IF(CX21="No Aplica","",$CX$5&amp;CX21&amp;", ")&amp;IF(CY21="No Aplica","",$CY$5)&amp;IF(CZ21="No Aplica","",$CZ$5)&amp;IF(DA21="No Aplica","",$DA$5)</f>
        <v xml:space="preserve">Plan de Acción, SGC, PROCESO: Control Disciplinario, </v>
      </c>
      <c r="DC21" s="149" t="str">
        <f t="shared" si="41"/>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
      <c r="DD21" s="149">
        <f t="shared" si="41"/>
        <v>0</v>
      </c>
      <c r="DE21" s="149" t="str">
        <f t="shared" si="41"/>
        <v>Mantener el proceso dentro de los términos legales establecidos, lo cual redunda en garantía de derechos para el investigado.</v>
      </c>
      <c r="DF21" s="149" t="str">
        <f t="shared" si="41"/>
        <v>Listado de expedientes.</v>
      </c>
      <c r="DG21" s="149" t="str">
        <f t="shared" si="41"/>
        <v>Constante</v>
      </c>
      <c r="DH21" s="149" t="str">
        <f t="shared" si="2"/>
        <v/>
      </c>
      <c r="DI21" s="149">
        <f t="shared" si="3"/>
        <v>100</v>
      </c>
      <c r="DJ21" s="149">
        <f t="shared" si="4"/>
        <v>100</v>
      </c>
      <c r="DK21" s="149">
        <f t="shared" si="5"/>
        <v>100</v>
      </c>
      <c r="DL21" s="149">
        <f t="shared" si="6"/>
        <v>100</v>
      </c>
      <c r="DM21" s="149">
        <f t="shared" si="7"/>
        <v>100</v>
      </c>
      <c r="DN21" s="149">
        <f t="shared" si="36"/>
        <v>100</v>
      </c>
      <c r="DO21" s="149">
        <f t="shared" si="38"/>
        <v>100</v>
      </c>
      <c r="DP21" s="149">
        <f t="shared" si="38"/>
        <v>100</v>
      </c>
      <c r="DQ21" s="149">
        <f t="shared" si="38"/>
        <v>100</v>
      </c>
      <c r="DR21" s="149">
        <f t="shared" si="38"/>
        <v>100</v>
      </c>
      <c r="DS21" s="149">
        <f t="shared" si="38"/>
        <v>100</v>
      </c>
      <c r="DT21" s="149">
        <f t="shared" si="38"/>
        <v>100</v>
      </c>
      <c r="DU21" s="149">
        <f t="shared" si="42"/>
        <v>100</v>
      </c>
      <c r="DV21" s="149">
        <f t="shared" si="42"/>
        <v>43</v>
      </c>
      <c r="DW21" s="149">
        <f t="shared" si="42"/>
        <v>45</v>
      </c>
      <c r="DX21" s="149" t="str">
        <f t="shared" si="42"/>
        <v xml:space="preserve">De los 45 expedientes en curso, 43 se encontraban con etapa procesal en terminos. La Jefe de la Oficina realiza seguimiento mensual a los procesos con terminos proximos a vencer, con el fin de que el profesional a cargo del expediente priorice la actuacion que corresponda según la etapa en que se encuentre; lo cual se verifica en la reunion del Subcomite de autocontrol mensual. </v>
      </c>
      <c r="DY21" s="149" t="str">
        <f t="shared" si="42"/>
        <v xml:space="preserve">La rotacion de personal en la Oficina, por causa de renuncias en cargos de provisionalidad,   dificulta y afecta el cumplimiento de los terminos en las actuaciones disciplinarias. Al finalizar el año 2019 se presento la renuncia de un profesional, factor que afecta el desarrollo normal de todas las actuaciones disciplinarias dada la  reasignacion de procesos que se debe realizar entre los profesionales de la Oficina con el fin de priorizar aquellos que esten proximos a vencer </v>
      </c>
      <c r="DZ21" s="149" t="str">
        <f t="shared" si="42"/>
        <v>Adelantar y sustanciar, en los terminos de Ley, las decisiones de cada una de las etapas del proceso disciplinario.</v>
      </c>
      <c r="EA21" s="149">
        <f t="shared" si="42"/>
        <v>50</v>
      </c>
      <c r="EB21" s="149">
        <f t="shared" si="42"/>
        <v>53</v>
      </c>
      <c r="EC21" s="149" t="str">
        <f t="shared" si="42"/>
        <v xml:space="preserve">De los 53 expedientes en curso, 50 se encontraban con etapa procesal en terminos. La Jefe de la Oficina realiza seguimiento mensual a los procesos con terminos proximos a vencer, con el fin de que el profesional a cargo del expediente priorice la actuacion que corresponda según la etapa en que se encuentre; lo cual se verifica en la reunion del Subcomite de autocontrol mensual. </v>
      </c>
      <c r="ED21" s="149" t="str">
        <f t="shared" si="42"/>
        <v xml:space="preserve">La rotacion de personal en la Oficina, por causa de renuncias en cargos de provisionalidad,   dificulta y afecta el cumplimiento de los terminos en las actuaciones disciplinarias. En el mes de febrero se presento el retiro de un funcionario, lo cual dificulto y afecto el cumplimiento de los terminos en las actuaciones disciplinarias; se reasignaron los procesos a los 2 profesionales de la Oficina con el fin de priorizar aquellos que estaban proximos a vencer. Uno de los procesos vencidos se encuentra pendiente de un concepto solicitado a la procuraduria General de la Nacion, el cual es indisensable para continuar con la actuacion disciplinaria. </v>
      </c>
      <c r="EE21" s="149" t="str">
        <f t="shared" si="43"/>
        <v>Adelantar y sustanciar, en los terminos de Ley, las decisiones de cada una de las etapas del proceso disciplinario.</v>
      </c>
      <c r="EF21" s="149">
        <f t="shared" si="43"/>
        <v>51</v>
      </c>
      <c r="EG21" s="149">
        <f t="shared" si="43"/>
        <v>55</v>
      </c>
      <c r="EH21" s="149" t="str">
        <f t="shared" si="43"/>
        <v xml:space="preserve">De los 55 expedientes en curso, 51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EI21" s="149" t="str">
        <f t="shared" si="43"/>
        <v xml:space="preserve">La rotacion de personal en la Oficina, por causa de renuncias en cargos de provisionalidad,   dificulta y afecta el cumplimiento de los terminos en las actuaciones disciplinarias. En el mes de febrero se presento el retiro de un funcionario, lo cual dificulto y afecto el cumplimiento de los terminos en las actuaciones disciplinarias, inclusive las del mes de marzo; se reasignaron los procesos a los 2 profesionales de la Oficina con el fin de priorizar aquellos que estaban proximos a vencer. Uno de los procesos vencidos se encuentra pendiente de un concepto solicitado a la procuraduria General de la Nacion, el cual es indisensable para continuar con la actuacion disciplinaria. </v>
      </c>
      <c r="EJ21" s="149" t="str">
        <f t="shared" si="43"/>
        <v>Adelantar y sustanciar, en los terminos de Ley, las decisiones de cada una de las etapas del proceso disciplinario.</v>
      </c>
      <c r="EK21" s="149">
        <f t="shared" si="43"/>
        <v>56</v>
      </c>
      <c r="EL21" s="149">
        <f t="shared" si="43"/>
        <v>56</v>
      </c>
      <c r="EM21" s="149" t="str">
        <f t="shared" si="43"/>
        <v xml:space="preserve">De los 56 expedientes en curso, 56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EN21" s="149" t="str">
        <f t="shared" si="43"/>
        <v>La meta del indicador se cumplio.</v>
      </c>
      <c r="EO21" s="149" t="str">
        <f t="shared" si="44"/>
        <v>Adelantar y sustanciar, en los terminos de Ley, las decisiones de cada una de las etapas del proceso disciplinario.</v>
      </c>
      <c r="EP21" s="149">
        <f t="shared" si="44"/>
        <v>57</v>
      </c>
      <c r="EQ21" s="149">
        <f t="shared" si="44"/>
        <v>57</v>
      </c>
      <c r="ER21" s="149" t="str">
        <f t="shared" si="44"/>
        <v xml:space="preserve">De los 57 expedientes en curso, 57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ES21" s="149" t="str">
        <f t="shared" si="44"/>
        <v>La meta del indicador se cumplio.</v>
      </c>
      <c r="ET21" s="149" t="str">
        <f t="shared" si="44"/>
        <v>Adelantar y sustanciar, en los terminos de Ley, las decisiones de cada una de las etapas del proceso disciplinario.</v>
      </c>
      <c r="EU21" s="149">
        <f t="shared" si="11"/>
        <v>57</v>
      </c>
      <c r="EV21" s="149">
        <f t="shared" si="11"/>
        <v>57</v>
      </c>
      <c r="EW21" s="149" t="str">
        <f t="shared" si="11"/>
        <v xml:space="preserve">De los 57 expedientes en curso, 57 se encontraban con etapa procesal en terminos. La Jefe de la Oficina realiza una programacion al inicio del mes con cada profesional con el fin de priorizar los expedientes con terminos proximos a vencer, y realiza seguimiento mensual, con el fin de que el profesional a cargo del expediente priorice la actuacion que corresponda según la etapa en que se encuentre; lo cual se verifica en la reunion del Subcomite de autocontrol mensual.  </v>
      </c>
      <c r="EX21" s="149" t="str">
        <f t="shared" si="11"/>
        <v>La meta del indicador se cumplio.</v>
      </c>
      <c r="EY21" s="149" t="str">
        <f t="shared" si="11"/>
        <v>Adelantar y sustanciar, en los terminos de Ley, las decisiones de cada una de las etapas del proceso disciplinario.</v>
      </c>
      <c r="EZ21" s="149">
        <f t="shared" si="44"/>
        <v>314</v>
      </c>
      <c r="FA21" s="149">
        <f t="shared" si="44"/>
        <v>323</v>
      </c>
      <c r="FB21" s="149" t="str">
        <f t="shared" si="44"/>
        <v/>
      </c>
      <c r="FC21" s="149" t="str">
        <f t="shared" si="44"/>
        <v/>
      </c>
      <c r="FD21" s="149" t="str">
        <f t="shared" si="45"/>
        <v/>
      </c>
      <c r="FE21" s="149" t="str">
        <f t="shared" si="45"/>
        <v/>
      </c>
      <c r="FF21" s="149" t="str">
        <f t="shared" si="45"/>
        <v/>
      </c>
      <c r="FG21" s="149" t="str">
        <f t="shared" si="45"/>
        <v/>
      </c>
      <c r="FH21" s="149" t="str">
        <f t="shared" si="45"/>
        <v/>
      </c>
      <c r="FI21" s="149" t="str">
        <f t="shared" si="45"/>
        <v/>
      </c>
      <c r="FJ21" s="149" t="str">
        <f t="shared" si="45"/>
        <v/>
      </c>
      <c r="FK21" s="149" t="str">
        <f t="shared" si="45"/>
        <v/>
      </c>
      <c r="FL21" s="149" t="str">
        <f t="shared" si="45"/>
        <v/>
      </c>
      <c r="FM21" s="149" t="str">
        <f t="shared" si="45"/>
        <v/>
      </c>
      <c r="FN21" s="149" t="str">
        <f t="shared" si="46"/>
        <v/>
      </c>
      <c r="FO21" s="149" t="str">
        <f t="shared" si="46"/>
        <v/>
      </c>
      <c r="FP21" s="149" t="str">
        <f t="shared" si="46"/>
        <v/>
      </c>
      <c r="FQ21" s="149" t="str">
        <f t="shared" si="46"/>
        <v/>
      </c>
      <c r="FR21" s="149" t="str">
        <f t="shared" si="46"/>
        <v/>
      </c>
      <c r="FS21" s="149" t="str">
        <f t="shared" si="46"/>
        <v/>
      </c>
      <c r="FT21" s="149" t="str">
        <f t="shared" si="46"/>
        <v/>
      </c>
      <c r="FU21" s="149" t="str">
        <f t="shared" si="46"/>
        <v/>
      </c>
      <c r="FV21" s="149" t="str">
        <f t="shared" si="46"/>
        <v/>
      </c>
      <c r="FW21" s="149" t="str">
        <f t="shared" si="46"/>
        <v/>
      </c>
      <c r="FX21" s="149" t="str">
        <f t="shared" si="47"/>
        <v/>
      </c>
      <c r="FY21" s="149" t="str">
        <f t="shared" si="47"/>
        <v/>
      </c>
      <c r="FZ21" s="149" t="str">
        <f t="shared" si="47"/>
        <v/>
      </c>
      <c r="GA21" s="149" t="str">
        <f t="shared" si="47"/>
        <v/>
      </c>
      <c r="GB21" s="149" t="str">
        <f t="shared" si="47"/>
        <v/>
      </c>
      <c r="GC21" s="149" t="str">
        <f t="shared" si="47"/>
        <v/>
      </c>
      <c r="GD21" s="149" t="str">
        <f t="shared" si="47"/>
        <v/>
      </c>
      <c r="GE21" s="149" t="str">
        <f t="shared" si="47"/>
        <v/>
      </c>
      <c r="GF21" s="149">
        <f t="shared" si="33"/>
        <v>0.9555555555555556</v>
      </c>
      <c r="GG21" s="149">
        <f t="shared" si="22"/>
        <v>0.94339622641509435</v>
      </c>
      <c r="GH21" s="149">
        <f t="shared" si="23"/>
        <v>0.92727272727272725</v>
      </c>
      <c r="GI21" s="149">
        <f t="shared" si="24"/>
        <v>1</v>
      </c>
      <c r="GJ21" s="149">
        <f t="shared" si="25"/>
        <v>1</v>
      </c>
      <c r="GK21" s="149">
        <f t="shared" si="34"/>
        <v>0.97213622291021673</v>
      </c>
      <c r="GL21" s="149">
        <f t="shared" si="15"/>
        <v>95.555555555555557</v>
      </c>
      <c r="GM21" s="149">
        <f t="shared" si="16"/>
        <v>94.339622641509436</v>
      </c>
      <c r="GN21" s="149">
        <f t="shared" si="17"/>
        <v>92.72727272727272</v>
      </c>
      <c r="GO21" s="149">
        <f t="shared" si="18"/>
        <v>100</v>
      </c>
      <c r="GP21" s="149">
        <f t="shared" si="19"/>
        <v>100</v>
      </c>
      <c r="GQ21" s="149">
        <f t="shared" si="19"/>
        <v>100</v>
      </c>
      <c r="GR21" s="153">
        <f t="shared" si="48"/>
        <v>97.103741820722959</v>
      </c>
      <c r="GS21" s="149">
        <f t="shared" si="37"/>
        <v>95.555555555555557</v>
      </c>
      <c r="GT21" s="149">
        <f>+IF(OR($A21=52,$A21=124),1,IFERROR(IF($X21="Creciente",IF($AB21="Número",SUM($GL21:GM21)/SUM($DO21:DP21)*($AX21-$AW21),SUM($GL21:GM21)/SUM($DO21:DP21))*($AX21-$AW21),IF($DG21="Creciente",GM21*GM21/GM21,IF(AND($DG21="Constante",$AB21="Porcentaje"),AVERAGEIF($GL21:GM21,"&lt;&gt;0")/AVERAGEIF($DO21:DP21,"&lt;&gt;0")*100,SUM($GL21:GM21)/SUM($DO21:DP21)*$DU21))),GS21))</f>
        <v>94.94758909853249</v>
      </c>
      <c r="GU21" s="149">
        <f>+IF(OR($A21=52,$A21=124),1,IFERROR(IF($X21="Creciente",IF($AB21="Número",SUM($GL21:GN21)/SUM($DO21:DQ21)*($AX21-$AW21),SUM($GL21:GN21)/SUM($DO21:DQ21))*($AX21-$AW21),IF($DG21="Creciente",GN21*GN21/GN21,IF(AND($DG21="Constante",$AB21="Porcentaje"),AVERAGEIF($GL21:GN21,"&lt;&gt;0")/AVERAGEIF($DO21:DQ21,"&lt;&gt;0")*100,SUM($GL21:GN21)/SUM($DO21:DQ21)*$DU21))),GT21))</f>
        <v>94.207483641445904</v>
      </c>
      <c r="GV21" s="149">
        <f>+IF(OR($A21=52,$A21=124),1,IFERROR(IF($X21="Creciente",IF($AB21="Número",SUM($GL21:GO21)/SUM($DO21:DR21)*($AX21-$AW21),SUM($GL21:GO21)/SUM($DO21:DR21))*($AX21-$AW21),IF($DG21="Creciente",GO21*GO21/GO21,IF(AND($DG21="Constante",$AB21="Porcentaje"),AVERAGEIF($GL21:GO21,"&lt;&gt;0")/AVERAGEIF($DO21:DR21,"&lt;&gt;0")*100,SUM($GL21:GO21)/SUM($DO21:DR21)*$DU21))),GU21))</f>
        <v>95.655612731084432</v>
      </c>
      <c r="GW21" s="149">
        <f>+IF(OR($A21=52,$A21=124),1,IFERROR(IF($X21="Creciente",IF($AB21="Número",SUM($GL21:GP21)/SUM($DO21:DS21)*($AX21-$AW21),SUM($GL21:GP21)/SUM($DO21:DS21))*($AX21-$AW21),IF($DG21="Creciente",GP21*GP21/GP21,IF(AND($DG21="Constante",$AB21="Porcentaje"),AVERAGEIF($GL21:GP21,"&lt;&gt;0")/AVERAGEIF($DO21:DS21,"&lt;&gt;0")*100,SUM($GL21:GP21)/SUM($DO21:DS21)*$DU21))),GV21))</f>
        <v>96.524490184867545</v>
      </c>
      <c r="GX21" s="149">
        <f>+IF(OR($A21=52,$A21=124),1,IFERROR(IF($X21="Creciente",IF($AB21="Número",SUM($GL21:GQ21)/SUM($DO21:DT21)*($AX21-$AW21),SUM($GL21:GQ21)/SUM($DO21:DT21))*($AX21-$AW21),IF($DG21="Creciente",GQ21*GQ21/GQ21,IF(AND($DG21="Constante",$AB21="Porcentaje"),AVERAGEIF($GL21:GQ21,"&lt;&gt;0")/AVERAGEIF($DO21:DT21,"&lt;&gt;0")*100,SUM($GL21:GQ21)/SUM($DO21:DT21)*$DU21))),GW21))</f>
        <v>97.103741820722959</v>
      </c>
      <c r="GY21" s="149" t="str">
        <f t="shared" si="28"/>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
      <c r="GZ21" s="149">
        <f t="shared" si="29"/>
        <v>0</v>
      </c>
      <c r="HA21" s="149" t="str">
        <f t="shared" si="30"/>
        <v>Mantener el proceso dentro de los términos legales establecidos, lo cual redunda en garantía de derechos para el investigado.</v>
      </c>
      <c r="HB21" s="149" t="str">
        <f t="shared" si="31"/>
        <v>Listado de expedientes.</v>
      </c>
      <c r="HC21" s="149" t="str">
        <f t="shared" si="39"/>
        <v>Cumple</v>
      </c>
      <c r="HD21" s="149" t="str">
        <f t="shared" si="39"/>
        <v>Satisfactorio</v>
      </c>
      <c r="HE21" s="149" t="str">
        <f t="shared" si="39"/>
        <v>No adecuado</v>
      </c>
      <c r="HF21" s="149" t="str">
        <f t="shared" si="39"/>
        <v>Coherente</v>
      </c>
      <c r="HG21" s="149" t="str">
        <f t="shared" si="39"/>
        <v>Concuerda</v>
      </c>
      <c r="HH21" s="149" t="str">
        <f t="shared" si="39"/>
        <v>Concuerda</v>
      </c>
      <c r="HI21" s="149" t="str">
        <f t="shared" si="39"/>
        <v>Relación directa</v>
      </c>
      <c r="HJ21" s="149" t="str">
        <f t="shared" si="39"/>
        <v>Adecuado</v>
      </c>
      <c r="HK21" s="149" t="str">
        <f t="shared" si="39"/>
        <v>Oportuna</v>
      </c>
      <c r="HL21" s="149" t="str">
        <f t="shared" si="39"/>
        <v>C3: Se atendió la observación de inluir en avance cuantitativo dentro del reporte de la gestión realizada.</v>
      </c>
      <c r="HM21" s="149" t="str">
        <f t="shared" si="40"/>
        <v>Cesar Arcos</v>
      </c>
      <c r="HN21" s="149" t="str">
        <f t="shared" si="40"/>
        <v>Cumple</v>
      </c>
      <c r="HO21" s="149" t="str">
        <f t="shared" si="40"/>
        <v>Cumplido</v>
      </c>
      <c r="HP21" s="149" t="str">
        <f t="shared" si="40"/>
        <v>Adecuado</v>
      </c>
      <c r="HQ21" s="149" t="str">
        <f t="shared" si="40"/>
        <v>Incoherente</v>
      </c>
      <c r="HR21" s="149" t="str">
        <f t="shared" si="40"/>
        <v>Difiere</v>
      </c>
      <c r="HS21" s="149" t="str">
        <f t="shared" si="40"/>
        <v>Concuerda</v>
      </c>
      <c r="HT21" s="149" t="str">
        <f t="shared" si="40"/>
        <v>Relación directa</v>
      </c>
      <c r="HU21" s="149" t="str">
        <f t="shared" si="40"/>
        <v>Adecuado</v>
      </c>
      <c r="HV21" s="149" t="str">
        <f t="shared" si="40"/>
        <v>Oportuna</v>
      </c>
      <c r="HW21" s="149" t="str">
        <f t="shared" si="40"/>
        <v>C4 y C5. El avance reportado en la gestión corresponde al indicador 160, lo cuál fue notificado por el lider del proceso mediante correo electrónico del 14 de julio.</v>
      </c>
      <c r="HX21" s="149" t="str">
        <f t="shared" si="40"/>
        <v>Cesar Arcos</v>
      </c>
    </row>
    <row r="22" spans="1:241" s="149" customFormat="1" x14ac:dyDescent="0.3">
      <c r="A22" s="301">
        <v>161</v>
      </c>
      <c r="B22" s="302" t="s">
        <v>1144</v>
      </c>
      <c r="C22" s="302" t="s">
        <v>1144</v>
      </c>
      <c r="D22" s="302" t="s">
        <v>1144</v>
      </c>
      <c r="E22" s="302" t="s">
        <v>1144</v>
      </c>
      <c r="F22" s="303" t="s">
        <v>1304</v>
      </c>
      <c r="G22" s="302" t="s">
        <v>1144</v>
      </c>
      <c r="H22" s="302" t="s">
        <v>1144</v>
      </c>
      <c r="I22" s="303" t="s">
        <v>1146</v>
      </c>
      <c r="J22" s="304" t="s">
        <v>167</v>
      </c>
      <c r="K22" s="304" t="s">
        <v>168</v>
      </c>
      <c r="L22" s="304" t="s">
        <v>169</v>
      </c>
      <c r="M22" s="304" t="s">
        <v>1147</v>
      </c>
      <c r="N22" s="304" t="s">
        <v>1305</v>
      </c>
      <c r="O22" s="304" t="s">
        <v>1306</v>
      </c>
      <c r="P22" s="303" t="s">
        <v>1304</v>
      </c>
      <c r="Q22" s="304" t="s">
        <v>1307</v>
      </c>
      <c r="R22" s="304" t="s">
        <v>1308</v>
      </c>
      <c r="S22" s="304" t="s">
        <v>1309</v>
      </c>
      <c r="T22" s="304" t="s">
        <v>1310</v>
      </c>
      <c r="U22" s="304" t="s">
        <v>1311</v>
      </c>
      <c r="V22" s="304" t="s">
        <v>1312</v>
      </c>
      <c r="W22" s="303" t="s">
        <v>601</v>
      </c>
      <c r="X22" s="304" t="s">
        <v>601</v>
      </c>
      <c r="Y22" s="304"/>
      <c r="Z22" s="304" t="s">
        <v>1313</v>
      </c>
      <c r="AA22" s="304" t="s">
        <v>1314</v>
      </c>
      <c r="AB22" s="304" t="s">
        <v>602</v>
      </c>
      <c r="AC22" s="304" t="s">
        <v>1159</v>
      </c>
      <c r="AD22" s="304" t="s">
        <v>1160</v>
      </c>
      <c r="AE22" s="304">
        <v>2016</v>
      </c>
      <c r="AF22" s="304">
        <v>0</v>
      </c>
      <c r="AG22" s="304">
        <v>2016</v>
      </c>
      <c r="AH22" s="304">
        <v>0</v>
      </c>
      <c r="AI22" s="304">
        <v>0.85</v>
      </c>
      <c r="AJ22" s="304">
        <v>0.9</v>
      </c>
      <c r="AK22" s="304">
        <v>0.95</v>
      </c>
      <c r="AL22" s="305">
        <v>0</v>
      </c>
      <c r="AM22" s="304">
        <v>0</v>
      </c>
      <c r="AN22" s="302" t="s">
        <v>1144</v>
      </c>
      <c r="AO22" s="302" t="s">
        <v>1144</v>
      </c>
      <c r="AP22" s="302" t="s">
        <v>1144</v>
      </c>
      <c r="AQ22" s="302" t="s">
        <v>1144</v>
      </c>
      <c r="AR22" s="302" t="s">
        <v>1144</v>
      </c>
      <c r="AS22" s="302" t="s">
        <v>1144</v>
      </c>
      <c r="AT22" s="306">
        <v>0</v>
      </c>
      <c r="AU22" s="306">
        <v>85</v>
      </c>
      <c r="AV22" s="306">
        <v>90</v>
      </c>
      <c r="AW22" s="306">
        <v>95</v>
      </c>
      <c r="AX22" s="307">
        <v>0</v>
      </c>
      <c r="AY22" s="306">
        <v>0</v>
      </c>
      <c r="AZ22" s="303"/>
      <c r="BA22" s="303"/>
      <c r="BB22" s="303"/>
      <c r="BC22" s="303"/>
      <c r="BD22" s="303">
        <v>0</v>
      </c>
      <c r="BE22" s="303"/>
      <c r="BF22" s="303"/>
      <c r="BG22" s="303"/>
      <c r="BH22" s="303"/>
      <c r="BI22" s="303"/>
      <c r="BJ22" s="303">
        <v>0</v>
      </c>
      <c r="BK22" s="302" t="s">
        <v>1144</v>
      </c>
      <c r="BL22" s="302" t="s">
        <v>1144</v>
      </c>
      <c r="BM22" s="302" t="s">
        <v>1144</v>
      </c>
      <c r="BN22" s="302" t="s">
        <v>1144</v>
      </c>
      <c r="BO22" s="302" t="s">
        <v>1144</v>
      </c>
      <c r="BP22" s="302" t="s">
        <v>1144</v>
      </c>
      <c r="BQ22" s="302" t="s">
        <v>1144</v>
      </c>
      <c r="BR22" s="302" t="s">
        <v>1144</v>
      </c>
      <c r="BS22" s="302" t="s">
        <v>1144</v>
      </c>
      <c r="BT22" s="302" t="s">
        <v>1144</v>
      </c>
      <c r="BU22" s="302" t="s">
        <v>1144</v>
      </c>
      <c r="BV22" s="302" t="s">
        <v>1144</v>
      </c>
      <c r="BW22" s="304" t="s">
        <v>1144</v>
      </c>
      <c r="BX22" s="304" t="s">
        <v>1144</v>
      </c>
      <c r="BY22" s="304" t="s">
        <v>1144</v>
      </c>
      <c r="BZ22" s="304">
        <v>1</v>
      </c>
      <c r="CA22" s="304" t="s">
        <v>1144</v>
      </c>
      <c r="CB22" s="304" t="s">
        <v>1144</v>
      </c>
      <c r="CC22" s="304" t="s">
        <v>1144</v>
      </c>
      <c r="CD22" s="304" t="s">
        <v>1144</v>
      </c>
      <c r="CE22" s="304" t="s">
        <v>1144</v>
      </c>
      <c r="CF22" s="304" t="s">
        <v>1144</v>
      </c>
      <c r="CG22" s="304" t="s">
        <v>1144</v>
      </c>
      <c r="CH22" s="304" t="s">
        <v>1144</v>
      </c>
      <c r="CI22" s="304" t="s">
        <v>1144</v>
      </c>
      <c r="CJ22" s="304" t="s">
        <v>1144</v>
      </c>
      <c r="CK22" s="304" t="s">
        <v>1144</v>
      </c>
      <c r="CL22" s="304" t="s">
        <v>1144</v>
      </c>
      <c r="CM22" s="304" t="s">
        <v>1144</v>
      </c>
      <c r="CN22" s="304" t="s">
        <v>1144</v>
      </c>
      <c r="CO22" s="304" t="s">
        <v>1144</v>
      </c>
      <c r="CP22" s="304" t="s">
        <v>1144</v>
      </c>
      <c r="CQ22" s="304" t="s">
        <v>1144</v>
      </c>
      <c r="CR22" s="304" t="s">
        <v>1144</v>
      </c>
      <c r="CS22" s="304" t="s">
        <v>1144</v>
      </c>
      <c r="CT22" s="304" t="s">
        <v>1144</v>
      </c>
      <c r="CU22" s="304" t="s">
        <v>1144</v>
      </c>
      <c r="CV22" s="304" t="s">
        <v>1144</v>
      </c>
      <c r="CW22" s="304" t="s">
        <v>1144</v>
      </c>
      <c r="CX22" s="304" t="s">
        <v>1144</v>
      </c>
      <c r="CY22" s="304" t="s">
        <v>1144</v>
      </c>
      <c r="CZ22" s="304" t="s">
        <v>1144</v>
      </c>
      <c r="DA22" s="304" t="s">
        <v>1144</v>
      </c>
      <c r="DB22" s="308" t="str">
        <f t="shared" si="32"/>
        <v xml:space="preserve">Plan de Acción, </v>
      </c>
      <c r="DC22" s="303" t="str">
        <f t="shared" si="41"/>
        <v>El indicador evalúa la satisfacción respecto a las actividades  relacionadas con los servicios protocolarios, surgidos en el marco de la gestión pública del Alcalde Mayor y las entidades referentes.</v>
      </c>
      <c r="DD22" s="303">
        <f t="shared" si="41"/>
        <v>0</v>
      </c>
      <c r="DE22" s="303" t="str">
        <f t="shared" si="41"/>
        <v>Identificar los potenciales riesgos que se puedan presentar y que afecten la satisfacción de los usuarios de los servicios protocolarios</v>
      </c>
      <c r="DF22" s="303" t="str">
        <f t="shared" si="41"/>
        <v>Resultados de las encuestas de satisfacción aplicadas</v>
      </c>
      <c r="DG22" s="303" t="str">
        <f t="shared" si="41"/>
        <v>Constante</v>
      </c>
      <c r="DH22" s="303" t="str">
        <f t="shared" si="2"/>
        <v/>
      </c>
      <c r="DI22" s="303">
        <f t="shared" si="3"/>
        <v>0</v>
      </c>
      <c r="DJ22" s="303">
        <f t="shared" si="4"/>
        <v>0</v>
      </c>
      <c r="DK22" s="303">
        <f t="shared" si="5"/>
        <v>0</v>
      </c>
      <c r="DL22" s="303">
        <f t="shared" si="6"/>
        <v>0</v>
      </c>
      <c r="DM22" s="303">
        <f t="shared" si="7"/>
        <v>0</v>
      </c>
      <c r="DN22" s="303">
        <f t="shared" si="36"/>
        <v>0</v>
      </c>
      <c r="DO22" s="303">
        <f t="shared" si="38"/>
        <v>0</v>
      </c>
      <c r="DP22" s="303">
        <f t="shared" si="38"/>
        <v>0</v>
      </c>
      <c r="DQ22" s="303">
        <f t="shared" si="38"/>
        <v>0</v>
      </c>
      <c r="DR22" s="303">
        <f t="shared" si="38"/>
        <v>0</v>
      </c>
      <c r="DS22" s="303">
        <f t="shared" si="38"/>
        <v>0</v>
      </c>
      <c r="DT22" s="303">
        <f t="shared" si="38"/>
        <v>0</v>
      </c>
      <c r="DU22" s="303">
        <f t="shared" si="42"/>
        <v>0</v>
      </c>
      <c r="DV22" s="303" t="str">
        <f t="shared" si="42"/>
        <v/>
      </c>
      <c r="DW22" s="303" t="str">
        <f t="shared" si="42"/>
        <v/>
      </c>
      <c r="DX22" s="303" t="str">
        <f t="shared" si="42"/>
        <v/>
      </c>
      <c r="DY22" s="303" t="str">
        <f t="shared" si="42"/>
        <v/>
      </c>
      <c r="DZ22" s="303" t="str">
        <f t="shared" si="42"/>
        <v/>
      </c>
      <c r="EA22" s="303" t="str">
        <f t="shared" si="42"/>
        <v/>
      </c>
      <c r="EB22" s="303" t="str">
        <f t="shared" si="42"/>
        <v/>
      </c>
      <c r="EC22" s="303" t="str">
        <f t="shared" si="42"/>
        <v/>
      </c>
      <c r="ED22" s="303" t="str">
        <f t="shared" si="42"/>
        <v/>
      </c>
      <c r="EE22" s="303" t="str">
        <f t="shared" si="43"/>
        <v/>
      </c>
      <c r="EF22" s="303" t="str">
        <f t="shared" si="43"/>
        <v/>
      </c>
      <c r="EG22" s="303" t="str">
        <f t="shared" si="43"/>
        <v/>
      </c>
      <c r="EH22" s="303" t="str">
        <f t="shared" si="43"/>
        <v/>
      </c>
      <c r="EI22" s="303" t="str">
        <f t="shared" si="43"/>
        <v/>
      </c>
      <c r="EJ22" s="303" t="str">
        <f t="shared" si="43"/>
        <v/>
      </c>
      <c r="EK22" s="303" t="str">
        <f t="shared" si="43"/>
        <v/>
      </c>
      <c r="EL22" s="303" t="str">
        <f t="shared" si="43"/>
        <v/>
      </c>
      <c r="EM22" s="303" t="str">
        <f t="shared" si="43"/>
        <v/>
      </c>
      <c r="EN22" s="303" t="str">
        <f t="shared" si="43"/>
        <v/>
      </c>
      <c r="EO22" s="303" t="str">
        <f t="shared" si="44"/>
        <v/>
      </c>
      <c r="EP22" s="303" t="str">
        <f t="shared" si="44"/>
        <v/>
      </c>
      <c r="EQ22" s="303" t="str">
        <f t="shared" si="44"/>
        <v/>
      </c>
      <c r="ER22" s="303" t="str">
        <f t="shared" si="44"/>
        <v/>
      </c>
      <c r="ES22" s="303" t="str">
        <f t="shared" si="44"/>
        <v/>
      </c>
      <c r="ET22" s="303" t="str">
        <f t="shared" si="44"/>
        <v/>
      </c>
      <c r="EU22" s="303" t="str">
        <f t="shared" si="44"/>
        <v/>
      </c>
      <c r="EV22" s="303" t="str">
        <f t="shared" si="44"/>
        <v/>
      </c>
      <c r="EW22" s="303" t="str">
        <f t="shared" si="44"/>
        <v/>
      </c>
      <c r="EX22" s="303" t="str">
        <f t="shared" si="44"/>
        <v/>
      </c>
      <c r="EY22" s="303" t="str">
        <f t="shared" si="44"/>
        <v/>
      </c>
      <c r="EZ22" s="303">
        <f t="shared" si="44"/>
        <v>0</v>
      </c>
      <c r="FA22" s="303">
        <f t="shared" si="44"/>
        <v>0</v>
      </c>
      <c r="FB22" s="303" t="str">
        <f t="shared" si="44"/>
        <v/>
      </c>
      <c r="FC22" s="303" t="str">
        <f t="shared" si="44"/>
        <v/>
      </c>
      <c r="FD22" s="303" t="str">
        <f t="shared" si="45"/>
        <v/>
      </c>
      <c r="FE22" s="303" t="str">
        <f t="shared" si="45"/>
        <v/>
      </c>
      <c r="FF22" s="303" t="str">
        <f t="shared" si="45"/>
        <v/>
      </c>
      <c r="FG22" s="303" t="str">
        <f t="shared" si="45"/>
        <v/>
      </c>
      <c r="FH22" s="303" t="str">
        <f t="shared" si="45"/>
        <v/>
      </c>
      <c r="FI22" s="303" t="str">
        <f t="shared" si="45"/>
        <v/>
      </c>
      <c r="FJ22" s="303" t="str">
        <f t="shared" si="45"/>
        <v/>
      </c>
      <c r="FK22" s="303" t="str">
        <f t="shared" si="45"/>
        <v/>
      </c>
      <c r="FL22" s="303" t="str">
        <f t="shared" si="45"/>
        <v/>
      </c>
      <c r="FM22" s="303" t="str">
        <f t="shared" si="45"/>
        <v/>
      </c>
      <c r="FN22" s="303" t="str">
        <f t="shared" si="46"/>
        <v/>
      </c>
      <c r="FO22" s="303" t="str">
        <f t="shared" si="46"/>
        <v/>
      </c>
      <c r="FP22" s="303" t="str">
        <f t="shared" si="46"/>
        <v/>
      </c>
      <c r="FQ22" s="303" t="str">
        <f t="shared" si="46"/>
        <v/>
      </c>
      <c r="FR22" s="303" t="str">
        <f t="shared" si="46"/>
        <v/>
      </c>
      <c r="FS22" s="303" t="str">
        <f t="shared" si="46"/>
        <v/>
      </c>
      <c r="FT22" s="303" t="str">
        <f t="shared" si="46"/>
        <v/>
      </c>
      <c r="FU22" s="303" t="str">
        <f t="shared" si="46"/>
        <v/>
      </c>
      <c r="FV22" s="303" t="str">
        <f t="shared" si="46"/>
        <v/>
      </c>
      <c r="FW22" s="303" t="str">
        <f t="shared" si="46"/>
        <v/>
      </c>
      <c r="FX22" s="303" t="str">
        <f t="shared" si="47"/>
        <v/>
      </c>
      <c r="FY22" s="303" t="str">
        <f t="shared" si="47"/>
        <v/>
      </c>
      <c r="FZ22" s="303" t="str">
        <f t="shared" si="47"/>
        <v/>
      </c>
      <c r="GA22" s="303" t="str">
        <f t="shared" si="47"/>
        <v/>
      </c>
      <c r="GB22" s="303" t="str">
        <f t="shared" si="47"/>
        <v/>
      </c>
      <c r="GC22" s="303" t="str">
        <f t="shared" si="47"/>
        <v/>
      </c>
      <c r="GD22" s="303" t="str">
        <f t="shared" si="47"/>
        <v/>
      </c>
      <c r="GE22" s="303" t="str">
        <f t="shared" si="47"/>
        <v/>
      </c>
      <c r="GF22" s="303" t="str">
        <f t="shared" si="33"/>
        <v/>
      </c>
      <c r="GG22" s="303" t="str">
        <f t="shared" si="22"/>
        <v/>
      </c>
      <c r="GH22" s="303" t="str">
        <f t="shared" si="23"/>
        <v/>
      </c>
      <c r="GI22" s="303" t="str">
        <f t="shared" si="24"/>
        <v/>
      </c>
      <c r="GJ22" s="303" t="str">
        <f t="shared" si="25"/>
        <v/>
      </c>
      <c r="GK22" s="303">
        <f t="shared" si="34"/>
        <v>0</v>
      </c>
      <c r="GL22" s="303" t="e">
        <f t="shared" si="15"/>
        <v>#VALUE!</v>
      </c>
      <c r="GM22" s="303" t="e">
        <f t="shared" si="16"/>
        <v>#VALUE!</v>
      </c>
      <c r="GN22" s="303" t="e">
        <f t="shared" si="17"/>
        <v>#VALUE!</v>
      </c>
      <c r="GO22" s="303" t="e">
        <f t="shared" si="18"/>
        <v>#VALUE!</v>
      </c>
      <c r="GP22" s="303" t="e">
        <f t="shared" si="19"/>
        <v>#VALUE!</v>
      </c>
      <c r="GQ22" s="303" t="e">
        <f t="shared" si="19"/>
        <v>#VALUE!</v>
      </c>
      <c r="GR22" s="309" t="e">
        <f>+IF(DG22="Suma",SUM(GL22:GQ22),AVERAGE(GL22:GQ22))</f>
        <v>#VALUE!</v>
      </c>
      <c r="GS22" s="303" t="str">
        <f t="shared" si="37"/>
        <v>No Programó</v>
      </c>
      <c r="GT22" s="303" t="str">
        <f>+IF(OR($A22=52,$A22=124),1,IFERROR(IF($X22="Creciente",IF($AB22="Número",SUM($GL22:GM22)/SUM($DO22:DP22)*($AX22-$AW22),SUM($GL22:GM22)/SUM($DO22:DP22))*($AX22-$AW22),IF($DG22="Creciente",GM22*GM22/GM22,IF(AND($DG22="Constante",$AB22="Porcentaje"),AVERAGEIF($GL22:GM22,"&lt;&gt;0")/AVERAGEIF($DO22:DP22,"&lt;&gt;0")*100,SUM($GL22:GM22)/SUM($DO22:DP22)*$DU22))),GS22))</f>
        <v>No Programó</v>
      </c>
      <c r="GU22" s="303" t="str">
        <f>+IF(OR($A22=52,$A22=124),1,IFERROR(IF($X22="Creciente",IF($AB22="Número",SUM($GL22:GN22)/SUM($DO22:DQ22)*($AX22-$AW22),SUM($GL22:GN22)/SUM($DO22:DQ22))*($AX22-$AW22),IF($DG22="Creciente",GN22*GN22/GN22,IF(AND($DG22="Constante",$AB22="Porcentaje"),AVERAGEIF($GL22:GN22,"&lt;&gt;0")/AVERAGEIF($DO22:DQ22,"&lt;&gt;0")*100,SUM($GL22:GN22)/SUM($DO22:DQ22)*$DU22))),GT22))</f>
        <v>No Programó</v>
      </c>
      <c r="GV22" s="303" t="str">
        <f>+IF(OR($A22=52,$A22=124),1,IFERROR(IF($X22="Creciente",IF($AB22="Número",SUM($GL22:GO22)/SUM($DO22:DR22)*($AX22-$AW22),SUM($GL22:GO22)/SUM($DO22:DR22))*($AX22-$AW22),IF($DG22="Creciente",GO22*GO22/GO22,IF(AND($DG22="Constante",$AB22="Porcentaje"),AVERAGEIF($GL22:GO22,"&lt;&gt;0")/AVERAGEIF($DO22:DR22,"&lt;&gt;0")*100,SUM($GL22:GO22)/SUM($DO22:DR22)*$DU22))),GU22))</f>
        <v>No Programó</v>
      </c>
      <c r="GW22" s="303" t="str">
        <f>+IF(OR($A22=52,$A22=124),1,IFERROR(IF($X22="Creciente",IF($AB22="Número",SUM($GL22:GP22)/SUM($DO22:DS22)*($AX22-$AW22),SUM($GL22:GP22)/SUM($DO22:DS22))*($AX22-$AW22),IF($DG22="Creciente",GP22*GP22/GP22,IF(AND($DG22="Constante",$AB22="Porcentaje"),AVERAGEIF($GL22:GP22,"&lt;&gt;0")/AVERAGEIF($DO22:DS22,"&lt;&gt;0")*100,SUM($GL22:GP22)/SUM($DO22:DS22)*$DU22))),GV22))</f>
        <v>No Programó</v>
      </c>
      <c r="GX22" s="303" t="str">
        <f>+IF(OR($A22=52,$A22=124),1,IFERROR(IF($X22="Creciente",IF($AB22="Número",SUM($GL22:GQ22)/SUM($DO22:DT22)*($AX22-$AW22),SUM($GL22:GQ22)/SUM($DO22:DT22))*($AX22-$AW22),IF($DG22="Creciente",GQ22*GQ22/GQ22,IF(AND($DG22="Constante",$AB22="Porcentaje"),AVERAGEIF($GL22:GQ22,"&lt;&gt;0")/AVERAGEIF($DO22:DT22,"&lt;&gt;0")*100,SUM($GL22:GQ22)/SUM($DO22:DT22)*$DU22))),GW22))</f>
        <v>No Programó</v>
      </c>
      <c r="GY22" s="303" t="str">
        <f t="shared" si="28"/>
        <v>El indicador evalúa la satisfacción respecto a las actividades  relacionadas con los servicios protocolarios, surgidos en el marco de la gestión pública del Alcalde Mayor y las entidades referentes.</v>
      </c>
      <c r="GZ22" s="303">
        <f t="shared" si="29"/>
        <v>0</v>
      </c>
      <c r="HA22" s="303" t="str">
        <f t="shared" si="30"/>
        <v>Identificar los potenciales riesgos que se puedan presentar y que afecten la satisfacción de los usuarios de los servicios protocolarios</v>
      </c>
      <c r="HB22" s="303" t="str">
        <f t="shared" si="31"/>
        <v>Resultados de las encuestas de satisfacción aplicadas</v>
      </c>
      <c r="HC22" s="149">
        <f t="shared" si="39"/>
        <v>0</v>
      </c>
      <c r="HD22" s="149">
        <f t="shared" si="39"/>
        <v>0</v>
      </c>
      <c r="HE22" s="149">
        <f t="shared" si="39"/>
        <v>0</v>
      </c>
      <c r="HF22" s="149">
        <f t="shared" si="39"/>
        <v>0</v>
      </c>
      <c r="HG22" s="149">
        <f t="shared" si="39"/>
        <v>0</v>
      </c>
      <c r="HH22" s="149">
        <f t="shared" si="39"/>
        <v>0</v>
      </c>
      <c r="HI22" s="149">
        <f t="shared" si="39"/>
        <v>0</v>
      </c>
      <c r="HJ22" s="149">
        <f t="shared" si="39"/>
        <v>0</v>
      </c>
      <c r="HK22" s="149">
        <f t="shared" si="39"/>
        <v>0</v>
      </c>
      <c r="HL22" s="149">
        <f t="shared" si="39"/>
        <v>0</v>
      </c>
      <c r="HM22" s="149">
        <f t="shared" si="40"/>
        <v>0</v>
      </c>
      <c r="HN22" s="149">
        <f t="shared" si="40"/>
        <v>0</v>
      </c>
      <c r="HO22" s="149">
        <f t="shared" si="40"/>
        <v>0</v>
      </c>
      <c r="HP22" s="149">
        <f t="shared" si="40"/>
        <v>0</v>
      </c>
      <c r="HQ22" s="149">
        <f t="shared" si="40"/>
        <v>0</v>
      </c>
      <c r="HR22" s="149">
        <f t="shared" si="40"/>
        <v>0</v>
      </c>
      <c r="HS22" s="149">
        <f t="shared" si="40"/>
        <v>0</v>
      </c>
      <c r="HT22" s="149">
        <f t="shared" si="40"/>
        <v>0</v>
      </c>
      <c r="HU22" s="149">
        <f t="shared" si="40"/>
        <v>0</v>
      </c>
      <c r="HV22" s="149">
        <f t="shared" si="40"/>
        <v>0</v>
      </c>
      <c r="HW22" s="149">
        <f t="shared" si="40"/>
        <v>0</v>
      </c>
      <c r="HX22" s="149">
        <f t="shared" si="40"/>
        <v>0</v>
      </c>
      <c r="HY22" s="303"/>
      <c r="HZ22" s="303"/>
      <c r="IA22" s="303"/>
      <c r="IB22" s="303"/>
      <c r="IC22" s="303"/>
      <c r="ID22" s="303"/>
      <c r="IE22" s="303"/>
      <c r="IF22" s="303"/>
      <c r="IG22" s="303"/>
    </row>
    <row r="23" spans="1:241" s="149" customFormat="1" x14ac:dyDescent="0.3">
      <c r="A23" s="145">
        <v>138</v>
      </c>
      <c r="B23" s="146" t="s">
        <v>1144</v>
      </c>
      <c r="C23" s="146" t="s">
        <v>1144</v>
      </c>
      <c r="D23" s="146" t="s">
        <v>1144</v>
      </c>
      <c r="E23" s="146" t="s">
        <v>1144</v>
      </c>
      <c r="F23" s="136" t="s">
        <v>1315</v>
      </c>
      <c r="G23" s="146" t="s">
        <v>1144</v>
      </c>
      <c r="H23" s="146" t="s">
        <v>1144</v>
      </c>
      <c r="I23" s="149" t="s">
        <v>1146</v>
      </c>
      <c r="J23" s="154" t="s">
        <v>39</v>
      </c>
      <c r="K23" s="154" t="s">
        <v>40</v>
      </c>
      <c r="L23" s="154" t="s">
        <v>41</v>
      </c>
      <c r="M23" s="154" t="s">
        <v>1316</v>
      </c>
      <c r="N23" s="154" t="s">
        <v>1317</v>
      </c>
      <c r="O23" s="154" t="s">
        <v>1318</v>
      </c>
      <c r="P23" s="148" t="s">
        <v>1315</v>
      </c>
      <c r="Q23" s="154" t="s">
        <v>1319</v>
      </c>
      <c r="R23" s="154" t="s">
        <v>1320</v>
      </c>
      <c r="S23" s="154" t="s">
        <v>1321</v>
      </c>
      <c r="T23" s="154" t="s">
        <v>1321</v>
      </c>
      <c r="U23" s="154" t="s">
        <v>1322</v>
      </c>
      <c r="V23" s="154" t="s">
        <v>1323</v>
      </c>
      <c r="W23" s="148" t="s">
        <v>601</v>
      </c>
      <c r="X23" s="154" t="s">
        <v>601</v>
      </c>
      <c r="Y23" s="154" t="s">
        <v>1324</v>
      </c>
      <c r="Z23" s="154" t="s">
        <v>1325</v>
      </c>
      <c r="AA23" s="154" t="s">
        <v>1326</v>
      </c>
      <c r="AB23" s="154" t="s">
        <v>602</v>
      </c>
      <c r="AC23" s="154" t="s">
        <v>1159</v>
      </c>
      <c r="AD23" s="154" t="s">
        <v>1160</v>
      </c>
      <c r="AE23" s="154">
        <v>2016</v>
      </c>
      <c r="AF23" s="154">
        <v>0.93</v>
      </c>
      <c r="AG23" s="154">
        <v>2016</v>
      </c>
      <c r="AH23" s="154">
        <v>0</v>
      </c>
      <c r="AI23" s="154">
        <v>0</v>
      </c>
      <c r="AJ23" s="154">
        <v>0</v>
      </c>
      <c r="AK23" s="154">
        <v>0.96</v>
      </c>
      <c r="AL23" s="216">
        <v>0.96</v>
      </c>
      <c r="AM23" s="154">
        <v>0</v>
      </c>
      <c r="AN23" s="146" t="s">
        <v>1144</v>
      </c>
      <c r="AO23" s="146" t="s">
        <v>1144</v>
      </c>
      <c r="AP23" s="146" t="s">
        <v>1144</v>
      </c>
      <c r="AQ23" s="146" t="s">
        <v>1144</v>
      </c>
      <c r="AR23" s="146" t="s">
        <v>1144</v>
      </c>
      <c r="AS23" s="150" t="s">
        <v>1144</v>
      </c>
      <c r="AT23" s="232">
        <v>0</v>
      </c>
      <c r="AU23" s="232">
        <v>0</v>
      </c>
      <c r="AV23" s="232">
        <v>0</v>
      </c>
      <c r="AW23" s="232">
        <v>96</v>
      </c>
      <c r="AX23" s="211">
        <v>96</v>
      </c>
      <c r="AY23" s="232">
        <v>0</v>
      </c>
      <c r="AZ23" s="167"/>
      <c r="BA23" s="167"/>
      <c r="BB23" s="167"/>
      <c r="BC23" s="167"/>
      <c r="BD23" s="149">
        <v>0</v>
      </c>
      <c r="BJ23" s="149">
        <v>0</v>
      </c>
      <c r="BK23" s="150" t="s">
        <v>1144</v>
      </c>
      <c r="BL23" s="146" t="s">
        <v>1144</v>
      </c>
      <c r="BM23" s="146" t="s">
        <v>1144</v>
      </c>
      <c r="BN23" s="146" t="s">
        <v>1144</v>
      </c>
      <c r="BO23" s="146" t="s">
        <v>1144</v>
      </c>
      <c r="BP23" s="146" t="s">
        <v>1144</v>
      </c>
      <c r="BQ23" s="146" t="s">
        <v>1144</v>
      </c>
      <c r="BR23" s="146" t="s">
        <v>1144</v>
      </c>
      <c r="BS23" s="146" t="s">
        <v>1144</v>
      </c>
      <c r="BT23" s="146" t="s">
        <v>1144</v>
      </c>
      <c r="BU23" s="146" t="s">
        <v>1144</v>
      </c>
      <c r="BV23" s="146" t="s">
        <v>1144</v>
      </c>
      <c r="BW23" s="154" t="s">
        <v>1144</v>
      </c>
      <c r="BX23" s="154" t="s">
        <v>1144</v>
      </c>
      <c r="BY23" s="154" t="s">
        <v>1144</v>
      </c>
      <c r="BZ23" s="154">
        <v>1</v>
      </c>
      <c r="CA23" s="154" t="s">
        <v>1144</v>
      </c>
      <c r="CB23" s="154" t="s">
        <v>1144</v>
      </c>
      <c r="CC23" s="154" t="s">
        <v>1144</v>
      </c>
      <c r="CD23" s="154">
        <v>1</v>
      </c>
      <c r="CE23" s="154" t="s">
        <v>237</v>
      </c>
      <c r="CF23" s="154" t="s">
        <v>1144</v>
      </c>
      <c r="CG23" s="154" t="s">
        <v>1144</v>
      </c>
      <c r="CH23" s="154" t="s">
        <v>1144</v>
      </c>
      <c r="CI23" s="154" t="s">
        <v>1144</v>
      </c>
      <c r="CJ23" s="154" t="s">
        <v>1144</v>
      </c>
      <c r="CK23" s="154" t="s">
        <v>1144</v>
      </c>
      <c r="CL23" s="154" t="s">
        <v>1144</v>
      </c>
      <c r="CM23" s="154" t="s">
        <v>1144</v>
      </c>
      <c r="CN23" s="154" t="s">
        <v>1144</v>
      </c>
      <c r="CO23" s="154" t="s">
        <v>1144</v>
      </c>
      <c r="CP23" s="154" t="s">
        <v>1144</v>
      </c>
      <c r="CQ23" s="154" t="s">
        <v>1144</v>
      </c>
      <c r="CR23" s="154" t="s">
        <v>1144</v>
      </c>
      <c r="CS23" s="154" t="s">
        <v>1144</v>
      </c>
      <c r="CT23" s="154" t="s">
        <v>1144</v>
      </c>
      <c r="CU23" s="154" t="s">
        <v>1144</v>
      </c>
      <c r="CV23" s="154" t="s">
        <v>1144</v>
      </c>
      <c r="CW23" s="154" t="s">
        <v>1144</v>
      </c>
      <c r="CX23" s="154" t="s">
        <v>1144</v>
      </c>
      <c r="CY23" s="154" t="s">
        <v>1144</v>
      </c>
      <c r="CZ23" s="154" t="s">
        <v>1144</v>
      </c>
      <c r="DA23" s="154" t="s">
        <v>1144</v>
      </c>
      <c r="DB23" s="152" t="str">
        <f>IF(BW23="No Aplica","",$BW$5)&amp;IF(BX23="No Aplica","",$BX$5)&amp;IF(BY23="No Aplica","",$BY$5)&amp;IF(BZ23="No Aplica","",$BZ$5)&amp;IF(CA23="No Aplica","",$CA$5)&amp;IF(CB23="No Aplica","",CB23&amp;" ")&amp;IF(CC23="No Aplica","",CC23&amp;", ")&amp;IF(CD23="No Aplica","",$CD$5)&amp;IF(CE23="No Aplica","",$CE$5&amp;CE23&amp;", ")&amp;IF(CF23="No Aplica","",$CF$5)&amp;IF(CG23="No Aplica","",$CG$5)&amp;IF(CH23="No Aplica","",$CH$5)&amp;IF(CI23="No Aplica","",$CI$5)&amp;IF(CJ23="No Aplica","",$CJ$5)&amp;IF(CK23="No Aplica","",$CK$5)&amp;IF(CL23="No Aplica","",$CL$5)&amp;IF(CM23="No Aplica","",$CM$5)&amp;IF(CN23="No Aplica","",$CN$5)&amp;IF(CO23="No Aplica","",$CO$5)&amp;IF(CP23="No Aplica","",$CP$5)&amp;IF(CQ23="No Aplica","",$CQ$5)&amp;IF(CR23="No Aplica","",$CR$5)&amp;IF(CS23="No Aplica","",$CS$5)&amp;IF(CT23="No Aplica","",$CT$5)&amp;IF(CU23="No Aplica","",$CU$5)&amp;IF(CV23="No Aplica","",$CV$5)&amp;IF(CW23="No Aplica","",CW23&amp;", ")&amp;IF(CX23="No Aplica","",$CX$5&amp;CX23&amp;", ")&amp;IF(CY23="No Aplica","",$CY$5)&amp;IF(CZ23="No Aplica","",$CZ$5)&amp;IF(DA23="No Aplica","",$DA$5)</f>
        <v xml:space="preserve">Plan de Acción, SGC, PROCESO: Estrategia de Tecnologías de la Información y las Comunicaciones, </v>
      </c>
      <c r="DC23" s="149" t="str">
        <f t="shared" si="41"/>
        <v>Mide  la disponibilidad de Sistemas de Información y Sitios web en producción de la entidad, para que los usuarios los puedan operar y/o consultar, mediante el monitoreo de Bases de datos, Sistemas de información y de la Infraestructura Tecnológica.</v>
      </c>
      <c r="DD23" s="149" t="str">
        <f t="shared" si="41"/>
        <v>• Realizar Monitoreo a: 
- Base de Datos
- Sistemas de Información
- Infraestructura Tecnológica</v>
      </c>
      <c r="DE23" s="149" t="str">
        <f t="shared" si="41"/>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
      <c r="DF23" s="149" t="str">
        <f t="shared" si="41"/>
        <v>Reporte Informe de Sistema Adplatec
Correos enviados desde el Aplicativo Nagios
Consulta de Aplicativo GLPI sobre categoria Sistemas de Información</v>
      </c>
      <c r="DG23" s="149" t="str">
        <f t="shared" si="41"/>
        <v>Constante</v>
      </c>
      <c r="DH23" s="149" t="str">
        <f t="shared" si="2"/>
        <v/>
      </c>
      <c r="DI23" s="149">
        <f t="shared" si="3"/>
        <v>96</v>
      </c>
      <c r="DJ23" s="149">
        <f t="shared" si="4"/>
        <v>96</v>
      </c>
      <c r="DK23" s="149">
        <f t="shared" si="5"/>
        <v>96</v>
      </c>
      <c r="DL23" s="149">
        <f t="shared" si="6"/>
        <v>96</v>
      </c>
      <c r="DM23" s="149">
        <f t="shared" si="7"/>
        <v>96</v>
      </c>
      <c r="DN23" s="149">
        <f t="shared" si="36"/>
        <v>96</v>
      </c>
      <c r="DO23" s="149">
        <f t="shared" si="38"/>
        <v>96</v>
      </c>
      <c r="DP23" s="149">
        <f t="shared" si="38"/>
        <v>96</v>
      </c>
      <c r="DQ23" s="149">
        <f t="shared" si="38"/>
        <v>96</v>
      </c>
      <c r="DR23" s="149">
        <f t="shared" si="38"/>
        <v>96</v>
      </c>
      <c r="DS23" s="149">
        <f t="shared" si="38"/>
        <v>96</v>
      </c>
      <c r="DT23" s="149">
        <f t="shared" si="38"/>
        <v>96</v>
      </c>
      <c r="DU23" s="149">
        <f t="shared" si="42"/>
        <v>96</v>
      </c>
      <c r="DV23" s="149">
        <f t="shared" si="42"/>
        <v>97</v>
      </c>
      <c r="DW23" s="149" t="str">
        <f t="shared" si="42"/>
        <v/>
      </c>
      <c r="DX23" s="149" t="str">
        <f t="shared" si="42"/>
        <v>En Enero de 2020 se obtuvo una disponibilidad correspondientes al 97% de sistemas y portales o sitios web. El total de horas de No disponibilidad de los sistemas durante el 2020-01-01 y 2020-01-31 fue de 217.33 horas, las ventanas de mantenimientos realizados y registrados en este periodo fueron un total de 2.00</v>
      </c>
      <c r="DY23" s="149" t="str">
        <f t="shared" si="42"/>
        <v>N/A</v>
      </c>
      <c r="DZ23" s="149" t="str">
        <f t="shared" si="42"/>
        <v xml:space="preserve">El monitoreo de los componentes de la infraestructura tecnologica permitio que los sistemas y sitios web se encontraran disponibles en el porcentaje establecido por la OTIC para usuarios internos y externos.
  La disponibilidad de sistemas misionales 57.08 % del peso total que es 60 % .
  La disponibilidad de sistemas administrativos 24.99 % del peso total que es 25 %
 La disponibilidad de sistemas portales 15.00 % del peso total que es 15 % </v>
      </c>
      <c r="EA23" s="149">
        <f t="shared" si="42"/>
        <v>99.8</v>
      </c>
      <c r="EB23" s="149" t="str">
        <f t="shared" si="42"/>
        <v/>
      </c>
      <c r="EC23" s="149" t="str">
        <f t="shared" si="42"/>
        <v>En Febrero de 2020 se obtuvo una disponibilidad correspondiente al 99.8% de sistemas y portales o sitios web. El total de horas de No disponibilidad de los sistemas durante el 2020-02-01 y 2020-02-29 fue de 2.50 horas.  
 Para el Periodo 2020-02-01 y 2020-02-29 , las ventanas de mantenimientos realizados y registrados en este periodo fueron un total de 1.00</v>
      </c>
      <c r="ED23" s="149" t="str">
        <f t="shared" si="42"/>
        <v>N/A</v>
      </c>
      <c r="EE23" s="149" t="str">
        <f t="shared" si="43"/>
        <v xml:space="preserve">El monitoreo de los componentes de la infraestructura tecnologica permitio que los sistemas y sitios web se encontraran disponibles en el porcentaje establecido por la OTIC para usuarios internos y externos.
  La disponibilidad de sistemas misionales 59.78 % de un 60 %
  La disponibilidad de sistemas administrativos  25.00 % de un 25 %Administrativo
 La disponibilidad de sistemas portales 15.00 % de un 15 %Portales  </v>
      </c>
      <c r="EF23" s="149">
        <f t="shared" si="43"/>
        <v>100</v>
      </c>
      <c r="EG23" s="149" t="str">
        <f t="shared" si="43"/>
        <v/>
      </c>
      <c r="EH23" s="149" t="str">
        <f t="shared" si="43"/>
        <v>En Marzo de 2020 se obtuvo una disponibilidad correspondiente al 100% de sistemas y portales o sitios web. El total de horas de No disponibilidad de los sistemas durante el 2020-03-01 y 2020-03-31 fue de 0.50 horas.  
 Para el Periodo 2020-03-01 y 2020-03-31 , las ventanas de mantenimientos realizados y registrados en este periodo fueron un total de 4.00</v>
      </c>
      <c r="EI23" s="149" t="str">
        <f t="shared" si="43"/>
        <v>N/A</v>
      </c>
      <c r="EJ23" s="149" t="str">
        <f t="shared" si="43"/>
        <v xml:space="preserve">El monitoreo de los componentes de la infraestructura tecnologica permitio que los sistemas y sitios web se encontraran disponibles en el porcentaje establecido por la OTIC para usuarios internos y externos.
  La disponibilidad de sistemas misionales 60 % de un 60 %
  La disponibilidad de sistemas administrativos  24.99 % de un 25 %
 La disponibilidad de sistemas portales 15.00 % de un 15 %Portales  </v>
      </c>
      <c r="EK23" s="149">
        <f t="shared" si="43"/>
        <v>99.9</v>
      </c>
      <c r="EL23" s="149" t="str">
        <f t="shared" si="43"/>
        <v/>
      </c>
      <c r="EM23" s="149" t="str">
        <f t="shared" si="43"/>
        <v xml:space="preserve">En Abril de 2020 se obtuvo una disponibilidad correspondiente al 99.9% de sistemas y portales o sitios web. El total de horas de No disponibilidad de los sistemas durante el 2020-04-01 y 2020-04-30 fue de 3.92 horas.  Para el Periodo 2020-04-01 y 2020-04-30 , las ventanas de mantenimientos realizados y registrados en este periodo fueron un total de 5.00 </v>
      </c>
      <c r="EN23" s="149" t="str">
        <f t="shared" si="43"/>
        <v>N/A</v>
      </c>
      <c r="EO23" s="149" t="str">
        <f t="shared" si="44"/>
        <v xml:space="preserve">El monitoreo de los componentes de la infraestructura tecnologica permitio que los sistemas y sitios web se encontraran disponibles en el porcentaje establecido por la OTIC para usuarios internos y externos.
  La disponibilidad de sistemas misionales 59.94 % de un 60 %
  La disponibilidad de sistemas administrativos  24.99 % de un 25 %
 La disponibilidad de sistemas portales 15.00 % de un 15 %Portales  </v>
      </c>
      <c r="EP23" s="149">
        <f t="shared" si="44"/>
        <v>100</v>
      </c>
      <c r="EQ23" s="149" t="str">
        <f t="shared" si="44"/>
        <v/>
      </c>
      <c r="ER23" s="149" t="str">
        <f t="shared" si="44"/>
        <v>En Mayo de 2020 se obtuvo una disponibilidad correspondiente al 100% de sistemas y portales o sitios web. El total de horas de No disponibilidad de los sistemas durante el 2020-05-01 y 2020-05-31 fue de 12.58 horas. Las ventanas de mantenimientos realizados y registrados en este periodo fueron un total de 7.00</v>
      </c>
      <c r="ES23" s="149" t="str">
        <f t="shared" si="44"/>
        <v>N/A</v>
      </c>
      <c r="ET23" s="149" t="str">
        <f t="shared" si="44"/>
        <v xml:space="preserve">El monitoreo de los componentes de la infraestructura tecnológica permitió que los sistemas y sitios web se encontraran disponibles en el porcentaje establecido por la OTIC para usuarios internos y externos.
  La disponibilidad de sistemas misionales 59.96 % de un 60 %
  La disponibilidad de sistemas administrativos  24.99 % de un 25 %
 La disponibilidad de sistemas portales 15.00 % de un 15 %Portales  </v>
      </c>
      <c r="EU23" s="149">
        <f t="shared" si="44"/>
        <v>99.9</v>
      </c>
      <c r="EV23" s="149" t="str">
        <f t="shared" si="44"/>
        <v/>
      </c>
      <c r="EW23" s="149" t="str">
        <f t="shared" si="44"/>
        <v>En Mayo de 2020 se obtuvo una disponibilidad correspondiente al 99.9% de sistemas y portales o sitios web. El total de horas de No disponibilidad de los sistemas durante el 2020-06-01 y 2020-06-30 fue de 25.23 horas. Las ventanas de mantenimientos realizados y registrados en este periodo fueron un total de 2.00</v>
      </c>
      <c r="EX23" s="149" t="str">
        <f t="shared" si="44"/>
        <v>N/A</v>
      </c>
      <c r="EY23" s="149" t="str">
        <f t="shared" si="44"/>
        <v>El monitoreo de los componentes de la infraestructura tecnológica permitió que los sistemas y sitios web se encontraran disponibles en el porcentaje establecido por la OTIC para usuarios internos y externos.
 La disponibilidad de sistemas misionales 59.89 % de un 60 % 
La disponibilidad de sistemas administrativos 24.99 % de un 25 %
La disponibilidad de sistemas portales 15.00 % de un 15 %</v>
      </c>
      <c r="EZ23" s="149">
        <f t="shared" si="44"/>
        <v>596.6</v>
      </c>
      <c r="FA23" s="149">
        <f t="shared" si="44"/>
        <v>0</v>
      </c>
      <c r="FB23" s="149" t="str">
        <f t="shared" si="44"/>
        <v/>
      </c>
      <c r="FC23" s="149" t="str">
        <f t="shared" si="44"/>
        <v/>
      </c>
      <c r="FD23" s="149" t="str">
        <f t="shared" si="45"/>
        <v/>
      </c>
      <c r="FE23" s="149" t="str">
        <f t="shared" si="45"/>
        <v/>
      </c>
      <c r="FF23" s="149" t="str">
        <f t="shared" si="45"/>
        <v/>
      </c>
      <c r="FG23" s="149" t="str">
        <f t="shared" si="45"/>
        <v/>
      </c>
      <c r="FH23" s="149" t="str">
        <f t="shared" si="45"/>
        <v/>
      </c>
      <c r="FI23" s="149" t="str">
        <f t="shared" si="45"/>
        <v/>
      </c>
      <c r="FJ23" s="149" t="str">
        <f t="shared" si="45"/>
        <v/>
      </c>
      <c r="FK23" s="149" t="str">
        <f t="shared" si="45"/>
        <v/>
      </c>
      <c r="FL23" s="149" t="str">
        <f t="shared" si="45"/>
        <v/>
      </c>
      <c r="FM23" s="149" t="str">
        <f t="shared" si="45"/>
        <v/>
      </c>
      <c r="FN23" s="149" t="str">
        <f t="shared" si="46"/>
        <v/>
      </c>
      <c r="FO23" s="149" t="str">
        <f t="shared" si="46"/>
        <v/>
      </c>
      <c r="FP23" s="149" t="str">
        <f t="shared" si="46"/>
        <v/>
      </c>
      <c r="FQ23" s="149" t="str">
        <f t="shared" si="46"/>
        <v/>
      </c>
      <c r="FR23" s="149" t="str">
        <f t="shared" si="46"/>
        <v/>
      </c>
      <c r="FS23" s="149" t="str">
        <f t="shared" si="46"/>
        <v/>
      </c>
      <c r="FT23" s="149" t="str">
        <f t="shared" si="46"/>
        <v/>
      </c>
      <c r="FU23" s="149" t="str">
        <f t="shared" si="46"/>
        <v/>
      </c>
      <c r="FV23" s="149" t="str">
        <f t="shared" si="46"/>
        <v/>
      </c>
      <c r="FW23" s="149" t="str">
        <f t="shared" si="46"/>
        <v/>
      </c>
      <c r="FX23" s="149" t="str">
        <f t="shared" si="47"/>
        <v/>
      </c>
      <c r="FY23" s="149" t="str">
        <f t="shared" si="47"/>
        <v/>
      </c>
      <c r="FZ23" s="149" t="str">
        <f t="shared" si="47"/>
        <v/>
      </c>
      <c r="GA23" s="149" t="str">
        <f t="shared" si="47"/>
        <v/>
      </c>
      <c r="GB23" s="149" t="str">
        <f t="shared" si="47"/>
        <v/>
      </c>
      <c r="GC23" s="149" t="str">
        <f t="shared" si="47"/>
        <v/>
      </c>
      <c r="GD23" s="149" t="str">
        <f t="shared" si="47"/>
        <v/>
      </c>
      <c r="GE23" s="149" t="str">
        <f t="shared" si="47"/>
        <v/>
      </c>
      <c r="GF23" s="149">
        <f t="shared" si="33"/>
        <v>97</v>
      </c>
      <c r="GG23" s="149">
        <f t="shared" si="22"/>
        <v>99.8</v>
      </c>
      <c r="GH23" s="149">
        <f t="shared" si="23"/>
        <v>100</v>
      </c>
      <c r="GI23" s="149">
        <f t="shared" si="24"/>
        <v>99.9</v>
      </c>
      <c r="GJ23" s="149">
        <f t="shared" si="25"/>
        <v>100</v>
      </c>
      <c r="GK23" s="149">
        <f t="shared" si="34"/>
        <v>596.6</v>
      </c>
      <c r="GL23" s="149">
        <f t="shared" si="15"/>
        <v>101.04166666666667</v>
      </c>
      <c r="GM23" s="149">
        <f t="shared" si="16"/>
        <v>103.95833333333333</v>
      </c>
      <c r="GN23" s="149">
        <f t="shared" si="17"/>
        <v>104.16666666666667</v>
      </c>
      <c r="GO23" s="149">
        <f t="shared" si="18"/>
        <v>104.06250000000001</v>
      </c>
      <c r="GP23" s="149">
        <f t="shared" si="19"/>
        <v>104.16666666666667</v>
      </c>
      <c r="GQ23" s="149">
        <f t="shared" si="19"/>
        <v>104.06250000000001</v>
      </c>
      <c r="GR23" s="153">
        <f>+IF(DG23="Suma",SUM(GL23:GQ23),AVERAGE(GL23:GQ23))</f>
        <v>103.5763888888889</v>
      </c>
      <c r="GS23" s="149">
        <f t="shared" si="37"/>
        <v>105.25173611111111</v>
      </c>
      <c r="GT23" s="149">
        <f>+IF(OR($A23=52,$A23=124),1,IFERROR(IF($X23="Creciente",IF($AB23="Número",SUM($GL23:GM23)/SUM($DO23:DP23)*($AX23-$AW23),SUM($GL23:GM23)/SUM($DO23:DP23))*($AX23-$AW23),IF($DG23="Creciente",GM23*GM23/GM23,IF(AND($DG23="Constante",$AB23="Porcentaje"),AVERAGEIF($GL23:GM23,"&lt;&gt;0")/AVERAGEIF($DO23:DP23,"&lt;&gt;0")*100,SUM($GL23:GM23)/SUM($DO23:DP23)*$DU23))),GS23))</f>
        <v>106.77083333333333</v>
      </c>
      <c r="GU23" s="149">
        <f>+IF(OR($A23=52,$A23=124),1,IFERROR(IF($X23="Creciente",IF($AB23="Número",SUM($GL23:GN23)/SUM($DO23:DQ23)*($AX23-$AW23),SUM($GL23:GN23)/SUM($DO23:DQ23))*($AX23-$AW23),IF($DG23="Creciente",GN23*GN23/GN23,IF(AND($DG23="Constante",$AB23="Porcentaje"),AVERAGEIF($GL23:GN23,"&lt;&gt;0")/AVERAGEIF($DO23:DQ23,"&lt;&gt;0")*100,SUM($GL23:GN23)/SUM($DO23:DQ23)*$DU23))),GT23))</f>
        <v>107.34953703703705</v>
      </c>
      <c r="GV23" s="149">
        <f>+IF(OR($A23=52,$A23=124),1,IFERROR(IF($X23="Creciente",IF($AB23="Número",SUM($GL23:GO23)/SUM($DO23:DR23)*($AX23-$AW23),SUM($GL23:GO23)/SUM($DO23:DR23))*($AX23-$AW23),IF($DG23="Creciente",GO23*GO23/GO23,IF(AND($DG23="Constante",$AB23="Porcentaje"),AVERAGEIF($GL23:GO23,"&lt;&gt;0")/AVERAGEIF($DO23:DR23,"&lt;&gt;0")*100,SUM($GL23:GO23)/SUM($DO23:DR23)*$DU23))),GU23))</f>
        <v>107.61176215277779</v>
      </c>
      <c r="GW23" s="149">
        <f>+IF(OR($A23=52,$A23=124),1,IFERROR(IF($X23="Creciente",IF($AB23="Número",SUM($GL23:GP23)/SUM($DO23:DS23)*($AX23-$AW23),SUM($GL23:GP23)/SUM($DO23:DS23))*($AX23-$AW23),IF($DG23="Creciente",GP23*GP23/GP23,IF(AND($DG23="Constante",$AB23="Porcentaje"),AVERAGEIF($GL23:GP23,"&lt;&gt;0")/AVERAGEIF($DO23:DS23,"&lt;&gt;0")*100,SUM($GL23:GP23)/SUM($DO23:DS23)*$DU23))),GV23))</f>
        <v>107.79079861111111</v>
      </c>
      <c r="GX23" s="149">
        <f>+IF(OR($A23=52,$A23=124),1,IFERROR(IF($X23="Creciente",IF($AB23="Número",SUM($GL23:GQ23)/SUM($DO23:DT23)*($AX23-$AW23),SUM($GL23:GQ23)/SUM($DO23:DT23))*($AX23-$AW23),IF($DG23="Creciente",GQ23*GQ23/GQ23,IF(AND($DG23="Constante",$AB23="Porcentaje"),AVERAGEIF($GL23:GQ23,"&lt;&gt;0")/AVERAGEIF($DO23:DT23,"&lt;&gt;0")*100,SUM($GL23:GQ23)/SUM($DO23:DT23)*$DU23))),GW23))</f>
        <v>107.89207175925928</v>
      </c>
      <c r="GY23" s="149" t="str">
        <f t="shared" si="28"/>
        <v>Mide  la disponibilidad de Sistemas de Información y Sitios web en producción de la entidad, para que los usuarios los puedan operar y/o consultar, mediante el monitoreo de Bases de datos, Sistemas de información y de la Infraestructura Tecnológica.</v>
      </c>
      <c r="GZ23" s="149" t="str">
        <f t="shared" si="29"/>
        <v>• Realizar Monitoreo a: 
- Base de Datos
- Sistemas de Información
- Infraestructura Tecnológica</v>
      </c>
      <c r="HA23" s="149" t="str">
        <f t="shared" si="30"/>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
      <c r="HB23" s="149" t="str">
        <f t="shared" si="31"/>
        <v>Reporte Informe de Sistema Adplatec
Correos enviados desde el Aplicativo Nagios
Consulta de Aplicativo GLPI sobre categoria Sistemas de Información</v>
      </c>
      <c r="HC23" s="149" t="str">
        <f t="shared" si="39"/>
        <v>Cumple</v>
      </c>
      <c r="HD23" s="149" t="str">
        <f t="shared" si="39"/>
        <v>Cumplido</v>
      </c>
      <c r="HE23" s="149" t="str">
        <f t="shared" si="39"/>
        <v>Adecuado</v>
      </c>
      <c r="HF23" s="149" t="str">
        <f t="shared" si="39"/>
        <v>Coherente</v>
      </c>
      <c r="HG23" s="149" t="str">
        <f t="shared" si="39"/>
        <v>Concuerda</v>
      </c>
      <c r="HH23" s="149" t="str">
        <f t="shared" si="39"/>
        <v>Concuerda</v>
      </c>
      <c r="HI23" s="149" t="str">
        <f t="shared" si="39"/>
        <v>No aplica</v>
      </c>
      <c r="HJ23" s="149" t="str">
        <f t="shared" si="39"/>
        <v>Adecuado</v>
      </c>
      <c r="HK23" s="149" t="str">
        <f t="shared" si="39"/>
        <v>Oportuna</v>
      </c>
      <c r="HL23" s="149" t="str">
        <f t="shared" si="39"/>
        <v>Ninguna</v>
      </c>
      <c r="HM23" s="149" t="str">
        <f t="shared" si="40"/>
        <v>Sandra Patricia Ortiz Barrera</v>
      </c>
      <c r="HN23" s="149" t="str">
        <f t="shared" si="40"/>
        <v>Cumple</v>
      </c>
      <c r="HO23" s="149" t="str">
        <f t="shared" si="40"/>
        <v>Cumplido</v>
      </c>
      <c r="HP23" s="149" t="str">
        <f t="shared" si="40"/>
        <v>Adecuado</v>
      </c>
      <c r="HQ23" s="149" t="str">
        <f t="shared" si="40"/>
        <v>Coherente</v>
      </c>
      <c r="HR23" s="149" t="str">
        <f t="shared" si="40"/>
        <v>Concuerda</v>
      </c>
      <c r="HS23" s="149" t="str">
        <f t="shared" si="40"/>
        <v>Concuerda</v>
      </c>
      <c r="HT23" s="149" t="str">
        <f t="shared" si="40"/>
        <v>No aplica</v>
      </c>
      <c r="HU23" s="149" t="str">
        <f t="shared" si="40"/>
        <v>Adecuado</v>
      </c>
      <c r="HV23" s="149" t="str">
        <f t="shared" si="40"/>
        <v>Oportuna</v>
      </c>
      <c r="HW23" s="149" t="str">
        <f t="shared" si="40"/>
        <v>Ninguna</v>
      </c>
      <c r="HX23" s="149">
        <f t="shared" si="40"/>
        <v>0</v>
      </c>
    </row>
    <row r="24" spans="1:241" s="149" customFormat="1" x14ac:dyDescent="0.3">
      <c r="A24" s="145">
        <v>145</v>
      </c>
      <c r="B24" s="146" t="s">
        <v>1144</v>
      </c>
      <c r="C24" s="146" t="s">
        <v>1144</v>
      </c>
      <c r="D24" s="146" t="s">
        <v>1144</v>
      </c>
      <c r="E24" s="146" t="s">
        <v>1144</v>
      </c>
      <c r="F24" s="136" t="s">
        <v>1327</v>
      </c>
      <c r="G24" s="146" t="s">
        <v>1144</v>
      </c>
      <c r="H24" s="146" t="s">
        <v>1144</v>
      </c>
      <c r="I24" s="149" t="s">
        <v>1146</v>
      </c>
      <c r="J24" s="154" t="s">
        <v>39</v>
      </c>
      <c r="K24" s="154" t="s">
        <v>40</v>
      </c>
      <c r="L24" s="154" t="s">
        <v>41</v>
      </c>
      <c r="M24" s="154" t="s">
        <v>1316</v>
      </c>
      <c r="N24" s="154" t="s">
        <v>1317</v>
      </c>
      <c r="O24" s="154" t="s">
        <v>1318</v>
      </c>
      <c r="P24" s="148" t="s">
        <v>1327</v>
      </c>
      <c r="Q24" s="154" t="s">
        <v>1328</v>
      </c>
      <c r="R24" s="154" t="s">
        <v>1329</v>
      </c>
      <c r="S24" s="154" t="s">
        <v>1330</v>
      </c>
      <c r="T24" s="154" t="s">
        <v>1331</v>
      </c>
      <c r="U24" s="154" t="s">
        <v>1332</v>
      </c>
      <c r="V24" s="154" t="s">
        <v>1333</v>
      </c>
      <c r="W24" s="148" t="s">
        <v>601</v>
      </c>
      <c r="X24" s="154" t="s">
        <v>601</v>
      </c>
      <c r="Y24" s="154" t="s">
        <v>1334</v>
      </c>
      <c r="Z24" s="154" t="s">
        <v>1335</v>
      </c>
      <c r="AA24" s="154" t="s">
        <v>1336</v>
      </c>
      <c r="AB24" s="154" t="s">
        <v>602</v>
      </c>
      <c r="AC24" s="154" t="s">
        <v>1159</v>
      </c>
      <c r="AD24" s="154" t="s">
        <v>1031</v>
      </c>
      <c r="AE24" s="154">
        <v>2016</v>
      </c>
      <c r="AF24" s="154">
        <v>0.94</v>
      </c>
      <c r="AG24" s="154">
        <v>2016</v>
      </c>
      <c r="AH24" s="154">
        <v>0</v>
      </c>
      <c r="AI24" s="154">
        <v>0</v>
      </c>
      <c r="AJ24" s="154">
        <v>0</v>
      </c>
      <c r="AK24" s="154">
        <v>0.94</v>
      </c>
      <c r="AL24" s="216">
        <v>0.96</v>
      </c>
      <c r="AM24" s="154">
        <v>0</v>
      </c>
      <c r="AN24" s="146" t="s">
        <v>1144</v>
      </c>
      <c r="AO24" s="146" t="s">
        <v>1144</v>
      </c>
      <c r="AP24" s="146" t="s">
        <v>1144</v>
      </c>
      <c r="AQ24" s="146" t="s">
        <v>1144</v>
      </c>
      <c r="AR24" s="146" t="s">
        <v>1144</v>
      </c>
      <c r="AS24" s="150" t="s">
        <v>1144</v>
      </c>
      <c r="AT24" s="232">
        <v>0</v>
      </c>
      <c r="AU24" s="232">
        <v>0</v>
      </c>
      <c r="AV24" s="232">
        <v>0</v>
      </c>
      <c r="AW24" s="232">
        <v>94</v>
      </c>
      <c r="AX24" s="211">
        <v>94</v>
      </c>
      <c r="AY24" s="232">
        <v>0</v>
      </c>
      <c r="BD24" s="149">
        <v>0</v>
      </c>
      <c r="BJ24" s="149">
        <v>0</v>
      </c>
      <c r="BK24" s="150" t="s">
        <v>1144</v>
      </c>
      <c r="BL24" s="146" t="s">
        <v>1144</v>
      </c>
      <c r="BM24" s="146" t="s">
        <v>1144</v>
      </c>
      <c r="BN24" s="146" t="s">
        <v>1144</v>
      </c>
      <c r="BO24" s="146" t="s">
        <v>1144</v>
      </c>
      <c r="BP24" s="146" t="s">
        <v>1144</v>
      </c>
      <c r="BQ24" s="146" t="s">
        <v>1144</v>
      </c>
      <c r="BR24" s="146" t="s">
        <v>1144</v>
      </c>
      <c r="BS24" s="146" t="s">
        <v>1144</v>
      </c>
      <c r="BT24" s="146" t="s">
        <v>1144</v>
      </c>
      <c r="BU24" s="146" t="s">
        <v>1144</v>
      </c>
      <c r="BV24" s="146" t="s">
        <v>1144</v>
      </c>
      <c r="BW24" s="154" t="s">
        <v>1144</v>
      </c>
      <c r="BX24" s="154" t="s">
        <v>1144</v>
      </c>
      <c r="BY24" s="154" t="s">
        <v>1144</v>
      </c>
      <c r="BZ24" s="154">
        <v>1</v>
      </c>
      <c r="CA24" s="154" t="s">
        <v>1144</v>
      </c>
      <c r="CB24" s="154" t="s">
        <v>1144</v>
      </c>
      <c r="CC24" s="154" t="s">
        <v>1144</v>
      </c>
      <c r="CD24" s="154">
        <v>1</v>
      </c>
      <c r="CE24" s="154" t="s">
        <v>242</v>
      </c>
      <c r="CF24" s="154" t="s">
        <v>1144</v>
      </c>
      <c r="CG24" s="154" t="s">
        <v>1144</v>
      </c>
      <c r="CH24" s="154" t="s">
        <v>1144</v>
      </c>
      <c r="CI24" s="154" t="s">
        <v>1144</v>
      </c>
      <c r="CJ24" s="154" t="s">
        <v>1144</v>
      </c>
      <c r="CK24" s="154" t="s">
        <v>1144</v>
      </c>
      <c r="CL24" s="154" t="s">
        <v>1144</v>
      </c>
      <c r="CM24" s="154" t="s">
        <v>1144</v>
      </c>
      <c r="CN24" s="154" t="s">
        <v>1144</v>
      </c>
      <c r="CO24" s="154" t="s">
        <v>1144</v>
      </c>
      <c r="CP24" s="154" t="s">
        <v>1144</v>
      </c>
      <c r="CQ24" s="154" t="s">
        <v>1144</v>
      </c>
      <c r="CR24" s="154" t="s">
        <v>1144</v>
      </c>
      <c r="CS24" s="154" t="s">
        <v>1144</v>
      </c>
      <c r="CT24" s="154" t="s">
        <v>1144</v>
      </c>
      <c r="CU24" s="154" t="s">
        <v>1144</v>
      </c>
      <c r="CV24" s="154" t="s">
        <v>1144</v>
      </c>
      <c r="CW24" s="154" t="s">
        <v>1144</v>
      </c>
      <c r="CX24" s="154" t="s">
        <v>1144</v>
      </c>
      <c r="CY24" s="154" t="s">
        <v>1144</v>
      </c>
      <c r="CZ24" s="154" t="s">
        <v>1144</v>
      </c>
      <c r="DA24" s="154" t="s">
        <v>1144</v>
      </c>
      <c r="DB24" s="152" t="str">
        <f>IF(BW24="No Aplica","",$BW$5)&amp;IF(BX24="No Aplica","",$BX$5)&amp;IF(BY24="No Aplica","",$BY$5)&amp;IF(BZ24="No Aplica","",$BZ$5)&amp;IF(CA24="No Aplica","",$CA$5)&amp;IF(CB24="No Aplica","",CB24&amp;" ")&amp;IF(CC24="No Aplica","",CC24&amp;", ")&amp;IF(CD24="No Aplica","",$CD$5)&amp;IF(CE24="No Aplica","",$CE$5&amp;CE24&amp;", ")&amp;IF(CF24="No Aplica","",$CF$5)&amp;IF(CG24="No Aplica","",$CG$5)&amp;IF(CH24="No Aplica","",$CH$5)&amp;IF(CI24="No Aplica","",$CI$5)&amp;IF(CJ24="No Aplica","",$CJ$5)&amp;IF(CK24="No Aplica","",$CK$5)&amp;IF(CL24="No Aplica","",$CL$5)&amp;IF(CM24="No Aplica","",$CM$5)&amp;IF(CN24="No Aplica","",$CN$5)&amp;IF(CO24="No Aplica","",$CO$5)&amp;IF(CP24="No Aplica","",$CP$5)&amp;IF(CQ24="No Aplica","",$CQ$5)&amp;IF(CR24="No Aplica","",$CR$5)&amp;IF(CS24="No Aplica","",$CS$5)&amp;IF(CT24="No Aplica","",$CT$5)&amp;IF(CU24="No Aplica","",$CU$5)&amp;IF(CV24="No Aplica","",$CV$5)&amp;IF(CW24="No Aplica","",CW24&amp;", ")&amp;IF(CX24="No Aplica","",$CX$5&amp;CX24&amp;", ")&amp;IF(CY24="No Aplica","",$CY$5)&amp;IF(CZ24="No Aplica","",$CZ$5)&amp;IF(DA24="No Aplica","",$DA$5)</f>
        <v xml:space="preserve">Plan de Acción, SGC, PROCESO: Gestión, administración y soporte de infraestructura y recursos tecnológicos, </v>
      </c>
      <c r="DC24" s="149" t="str">
        <f t="shared" si="41"/>
        <v>Mantener el porcentaje de 94% de incidentes o servicios informáticos solucionados  en el tiempo establecido como política o SLAs</v>
      </c>
      <c r="DD24" s="149" t="str">
        <f t="shared" si="41"/>
        <v>• Solucionar las solicitudes de carácter técnica registradas en la Herramienta GLPI</v>
      </c>
      <c r="DE24" s="149" t="str">
        <f t="shared" si="41"/>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
      <c r="DF24" s="149" t="str">
        <f t="shared" si="41"/>
        <v>Reporte y/o consulta del Aplicativo GLPI</v>
      </c>
      <c r="DG24" s="149" t="str">
        <f t="shared" si="41"/>
        <v>Constante</v>
      </c>
      <c r="DH24" s="149" t="str">
        <f t="shared" si="2"/>
        <v/>
      </c>
      <c r="DI24" s="149">
        <f t="shared" si="3"/>
        <v>94</v>
      </c>
      <c r="DJ24" s="149">
        <f t="shared" si="4"/>
        <v>94</v>
      </c>
      <c r="DK24" s="149">
        <f t="shared" si="5"/>
        <v>94</v>
      </c>
      <c r="DL24" s="149">
        <f t="shared" si="6"/>
        <v>94</v>
      </c>
      <c r="DM24" s="149">
        <f t="shared" si="7"/>
        <v>94</v>
      </c>
      <c r="DN24" s="149">
        <f t="shared" si="36"/>
        <v>94</v>
      </c>
      <c r="DO24" s="149">
        <f t="shared" si="38"/>
        <v>94</v>
      </c>
      <c r="DP24" s="149">
        <f t="shared" si="38"/>
        <v>94</v>
      </c>
      <c r="DQ24" s="149">
        <f t="shared" si="38"/>
        <v>94</v>
      </c>
      <c r="DR24" s="149">
        <f t="shared" si="38"/>
        <v>94</v>
      </c>
      <c r="DS24" s="149">
        <f t="shared" si="38"/>
        <v>94</v>
      </c>
      <c r="DT24" s="149">
        <f t="shared" si="38"/>
        <v>94</v>
      </c>
      <c r="DU24" s="149">
        <f t="shared" si="42"/>
        <v>94</v>
      </c>
      <c r="DV24" s="149">
        <f t="shared" si="42"/>
        <v>1824</v>
      </c>
      <c r="DW24" s="149">
        <f t="shared" si="42"/>
        <v>1978</v>
      </c>
      <c r="DX24" s="149" t="str">
        <f t="shared" si="42"/>
        <v>Los resultados de la medición durante el mes de enero de 2020, arroja los siguientes datos: fueron registradas 148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2587 registradas, se debe restar las siguientes:
· 16 solicitudes que se encuentran en “Espera” o “En curso”, en el seguimiento de estas se encuentra registrada la razón por la cual estas solicitudes no se han resuelto.
· 105 solicitudes que NO son de nuestra competencia o Solicitudes NO categorizadas y 488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609 solicitudes.
De acuerdo con lo anterior las solicitudes atendidas corresponden a 1978 de las cuales 1824 están dentro de los SLA establecidos, correspondientes al 92.21% incumpliendo la meta establecida para este indicador.</v>
      </c>
      <c r="DY24" s="149" t="str">
        <f t="shared" si="42"/>
        <v>Se evidencia un aumento en los servicios de creación de usuarios de red y tarjeta de proximidad, lo cual impactan la prestación normal del servicio.</v>
      </c>
      <c r="DZ24" s="149" t="str">
        <f t="shared" si="42"/>
        <v>Las solicitudes reportados por los usuarios de la infraestructura tecnológica de la Secretaria General se solucionan en un tiempo establecido como política por la Oficina de las tecnologías de la información y las comunicaciones. Se logra un 92.2%</v>
      </c>
      <c r="EA24" s="149">
        <f t="shared" si="42"/>
        <v>2181</v>
      </c>
      <c r="EB24" s="149">
        <f t="shared" si="42"/>
        <v>2270</v>
      </c>
      <c r="EC24" s="149" t="str">
        <f t="shared" si="42"/>
        <v>Los resultados de la medición durante el mes de febrero de 2020, arroja los siguientes datos: fueron registradas 2584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2584 registradas, se debe restar las siguientes:
•	24 solicitudes que se encuentran en “Espera” o “En curso”, en el seguimiento de estas se encuentra registrada la razón por la cual estas solicitudes no se han resuelto. 
•	80 solicitudes que NO son de nuestra competencia o Solicitudes NO categorizadas y 210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314 solicitudes. 
De acuerdo con lo anterior las solicitudes atendidas corresponden a 2270 de las cuales 2181 están dentro de los SLA establecidos, correspondientes al 96.08% cumpliendo la meta establecida para este indicador.</v>
      </c>
      <c r="ED24" s="149" t="str">
        <f t="shared" si="42"/>
        <v>N/A</v>
      </c>
      <c r="EE24" s="149" t="str">
        <f t="shared" si="43"/>
        <v xml:space="preserve">En este tiempo todas las solicitudes fueron registradas en el sistema de gestión de servicios (GLPI). De las 2584 que fueron registradas, se tiene en cuenta para el análisis 2270 solicitudes de las cuales 2181 están dentro de los SLA establecidos, correspondientes al 96.08%. </v>
      </c>
      <c r="EF24" s="149">
        <f t="shared" si="43"/>
        <v>1437</v>
      </c>
      <c r="EG24" s="149">
        <f t="shared" si="43"/>
        <v>1521</v>
      </c>
      <c r="EH24" s="149" t="str">
        <f t="shared" si="43"/>
        <v>Los resultados de la medición durante el mes de marzo de 2020, arroja los siguientes datos: fueron registradas 1877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1877 registradas, se debe restar las siguientes:
•	131 solicitudes que se encuentran en “Espera” o “En curso”, en el seguimiento de estas se encuentra registrada la razón por la cual estas solicitudes no se han resuelto. 
•	64 solicitudes que NO son de nuestra competencia o Solicitudes NO categorizadas y 161 servicios que corresponden a la atención del sistema SIVIC el cual se realiza directamente por los ingenieros de la Alta Consejería para los derechos de las víctimas la paz y la reconciliación (ACDVPR) y por tal razón no son de competencia de la Oficina TIC.
Para efectos del indicador no se tendrán en cuenta 356 solicitudes. 
De acuerdo con lo anterior las solicitudes atendidas corresponden a 1521 de las cuales 1437 están dentro de los SLA establecidos, correspondientes al 94.48% cumpliendo la meta establecida para este indicador.</v>
      </c>
      <c r="EI24" s="149" t="str">
        <f t="shared" si="43"/>
        <v>N/A</v>
      </c>
      <c r="EJ24" s="149" t="str">
        <f t="shared" si="43"/>
        <v xml:space="preserve">En este tiempo todas las solicitudes fueron registradas en el sistema de gestión de servicios (GLPI). De las 1877 que fueron registradas, se tiene en cuenta para el análisis 1521 solicitudes de las cuales 1437 están dentro de los SLA establecidos, correspondientes al 94.48%. </v>
      </c>
      <c r="EK24" s="149">
        <f t="shared" si="43"/>
        <v>586</v>
      </c>
      <c r="EL24" s="149">
        <f t="shared" si="43"/>
        <v>609</v>
      </c>
      <c r="EM24" s="149" t="str">
        <f t="shared" si="43"/>
        <v>Los resultados de la medición durante el mes de abril de 2020, arroja los siguientes datos: fueron registradas 763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763 registradas, se debe restar las siguientes:
•	16 solicitudes que se encuentran en “Espera” o “En curso”, en el seguimiento de estas se encuentra registrada la razón por la cual estas solicitudes no se han resuelto. 
•	19 solicitudes que NO son de nuestra competencia o Solicitudes NO categorizadas y 119 servicios que corresponden a la atención del sistema SIVIC el cual se realiza directamente por los ingenieros de la Alta Consejeria para los derechos de las víctimas la paz y la reconciliación (ACDVPR) y por tal razón no son de competencia de la Oficina TIC.
Para efectos del indicador no se tendrán en cuenta 154 solicitudes. 
De acuerdo con lo anterior las solicitudes atendidas corresponden a 609 de las cuales 586 están dentro de los SLA establecidos, correspondientes al 96.22% cumpliendo la meta establecida para este indicador.</v>
      </c>
      <c r="EN24" s="149" t="str">
        <f t="shared" si="43"/>
        <v>N/A</v>
      </c>
      <c r="EO24" s="149" t="str">
        <f t="shared" si="44"/>
        <v xml:space="preserve">En este tiempo todas las solicitudes fueron registradas en el sistema de gestión de servicios (GLPI). De las 763 que fueron registradas, se tiene en cuenta para el análisis 609 solicitudes de las cuales 586 están dentro de los SLA establecidos, correspondientes al 96.22%. </v>
      </c>
      <c r="EP24" s="149">
        <f t="shared" si="44"/>
        <v>850</v>
      </c>
      <c r="EQ24" s="149">
        <f t="shared" si="44"/>
        <v>900</v>
      </c>
      <c r="ER24" s="149" t="str">
        <f t="shared" si="44"/>
        <v>Los resultados de la medición durante el mes de mayo de 2020, arroja los siguientes datos: fueron registradas 1189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1189 registradas, se debe restar las siguientes:
•	218 solicitudes que se encuentran en “Espera” o “En curso”, en el seguimiento de estas se encuentra registrada la razón por la cual estas solicitudes no se han resuelto. 
•	14 solicitudes que NO son de nuestra competencia o Solicitudes NO categorizadas y 55 servicios que corresponden a la atención del sistema SIVIC el cual se realiza directamente por los ingenieros de la Alta Consejería para los derechos de las víctimas la paz y la reconciliación (ACDVPR) y 2 servicios que corresponde a actividades administrativas realizadas por la Subdirección de servicios administrativos y por tal razón no son de competencia de la Oficina TIC. 
Para efectos del indicador no se tendrán en cuenta 289 solicitudes. 
De acuerdo con lo anterior las solicitudes atendidas corresponden a 900 de las cuales 850 están dentro de los SLA establecidos, correspondientes al 94.44% cumpliendo la meta establecida para este indicador.</v>
      </c>
      <c r="ES24" s="149" t="str">
        <f t="shared" si="44"/>
        <v>N/A</v>
      </c>
      <c r="ET24" s="149" t="str">
        <f t="shared" si="44"/>
        <v xml:space="preserve">En este tiempo todas las solicitudes fueron registradas en el sistema de gestión de servicios (GLPI). De las 1189 que fueron registradas, se tiene en cuenta para el análisis 900 solicitudes de las cuales 850 están dentro de los SLA establecidos, correspondientes al 94.44%. </v>
      </c>
      <c r="EU24" s="149">
        <f t="shared" si="44"/>
        <v>999</v>
      </c>
      <c r="EV24" s="149">
        <f t="shared" si="44"/>
        <v>1088</v>
      </c>
      <c r="EW24" s="149" t="str">
        <f t="shared" si="44"/>
        <v>Los resultados de la medición durante el mes de junio de 2020, arroja los siguientes datos: fueron registradas 1256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1189 registradas, se debe restar las siguientes:
•	120 solicitudes que se encuentran en “Espera” o “En curso”, en el seguimiento de estas se encuentra registrada la razón por la cual estas solicitudes no se han resuelto. 
•	10 solicitudes que NO son de nuestra competencia o Solicitudes NO categorizadas y 38 servicios que corresponden a la atención del sistema SIVIC el cual se realiza directamente por los ingenieros de la Alta Consejería para los derechos de las víctimas la paz y la reconciliación (ACDVPR) por tal razón no son de competencia de la Oficina TIC. 
Para efectos del indicador no se tendrán en cuenta 168 solicitudes. 
De acuerdo con lo anterior las solicitudes atendidas corresponden a 1088 de las cuales 999 están dentro de los SLA establecidos, correspondientes al 91.82% incumpliendo la meta establecida para este indicador.</v>
      </c>
      <c r="EX24" s="149" t="str">
        <f t="shared" si="44"/>
        <v>Se inicia plan de contingencia por la pandemia COVID-19 y plan de alistamiento donde se priorizan los servicios de asignación de VPN y gestión de los sistemas de información desde casa.
Con el fin de mejor el indicador se proponen las siguientes actividades:
•	Capacitación en el uso y manejo del sistema de gestión de servicios (GLPI) encaminado a crear en los ingenieros o técnicos tanto de nivel 0, nivel 1 como de nivel 2, el hábito de registrar en la herramienta las actividades que se hacen entorno a una solicitud, evidenciando de esta manera, todo el trabajo que se requiere dar solución a un requerimiento. 
•	Se comunicará al interior de la oficina TIC los SLA que corresponden a cada una de las categorías existentes en el sistema de gestión de servicios</v>
      </c>
      <c r="EY24" s="149" t="str">
        <f t="shared" si="44"/>
        <v xml:space="preserve">En este tiempo todas las solicitudes fueron registradas en el sistema de gestión de servicios (GLPI). De las 1256 que fueron registradas, se tiene en cuenta para el análisis 1088 solicitudes de las cuales 999 están dentro de los SLA establecidos, correspondientes al 91.82%. </v>
      </c>
      <c r="EZ24" s="149">
        <f t="shared" si="44"/>
        <v>7877</v>
      </c>
      <c r="FA24" s="149">
        <f t="shared" si="44"/>
        <v>8366</v>
      </c>
      <c r="FB24" s="149" t="str">
        <f t="shared" si="44"/>
        <v/>
      </c>
      <c r="FC24" s="149" t="str">
        <f t="shared" si="44"/>
        <v/>
      </c>
      <c r="FD24" s="149" t="str">
        <f t="shared" si="45"/>
        <v/>
      </c>
      <c r="FE24" s="149" t="str">
        <f t="shared" si="45"/>
        <v/>
      </c>
      <c r="FF24" s="149" t="str">
        <f t="shared" si="45"/>
        <v/>
      </c>
      <c r="FG24" s="149" t="str">
        <f t="shared" si="45"/>
        <v/>
      </c>
      <c r="FH24" s="149" t="str">
        <f t="shared" si="45"/>
        <v/>
      </c>
      <c r="FI24" s="149" t="str">
        <f t="shared" si="45"/>
        <v/>
      </c>
      <c r="FJ24" s="149" t="str">
        <f t="shared" si="45"/>
        <v/>
      </c>
      <c r="FK24" s="149" t="str">
        <f t="shared" si="45"/>
        <v/>
      </c>
      <c r="FL24" s="149" t="str">
        <f t="shared" si="45"/>
        <v/>
      </c>
      <c r="FM24" s="149" t="str">
        <f t="shared" si="45"/>
        <v/>
      </c>
      <c r="FN24" s="149" t="str">
        <f t="shared" si="46"/>
        <v/>
      </c>
      <c r="FO24" s="149" t="str">
        <f t="shared" si="46"/>
        <v/>
      </c>
      <c r="FP24" s="149" t="str">
        <f t="shared" si="46"/>
        <v/>
      </c>
      <c r="FQ24" s="149" t="str">
        <f t="shared" si="46"/>
        <v/>
      </c>
      <c r="FR24" s="149" t="str">
        <f t="shared" si="46"/>
        <v/>
      </c>
      <c r="FS24" s="149" t="str">
        <f t="shared" si="46"/>
        <v/>
      </c>
      <c r="FT24" s="149" t="str">
        <f t="shared" si="46"/>
        <v/>
      </c>
      <c r="FU24" s="149" t="str">
        <f t="shared" si="46"/>
        <v/>
      </c>
      <c r="FV24" s="149" t="str">
        <f t="shared" si="46"/>
        <v/>
      </c>
      <c r="FW24" s="149" t="str">
        <f t="shared" si="46"/>
        <v/>
      </c>
      <c r="FX24" s="149" t="str">
        <f t="shared" si="47"/>
        <v/>
      </c>
      <c r="FY24" s="149" t="str">
        <f t="shared" si="47"/>
        <v/>
      </c>
      <c r="FZ24" s="149" t="str">
        <f t="shared" si="47"/>
        <v/>
      </c>
      <c r="GA24" s="149" t="str">
        <f t="shared" si="47"/>
        <v/>
      </c>
      <c r="GB24" s="149" t="str">
        <f t="shared" si="47"/>
        <v/>
      </c>
      <c r="GC24" s="149" t="str">
        <f t="shared" si="47"/>
        <v/>
      </c>
      <c r="GD24" s="149" t="str">
        <f t="shared" si="47"/>
        <v/>
      </c>
      <c r="GE24" s="149" t="str">
        <f t="shared" si="47"/>
        <v/>
      </c>
      <c r="GF24" s="149">
        <f t="shared" si="33"/>
        <v>0.92214357937310409</v>
      </c>
      <c r="GG24" s="149">
        <f t="shared" si="22"/>
        <v>0.96079295154185018</v>
      </c>
      <c r="GH24" s="149">
        <f t="shared" si="23"/>
        <v>0.94477317554240636</v>
      </c>
      <c r="GI24" s="149">
        <f t="shared" si="24"/>
        <v>0.9622331691297209</v>
      </c>
      <c r="GJ24" s="149">
        <f t="shared" si="25"/>
        <v>0.94444444444444442</v>
      </c>
      <c r="GK24" s="149">
        <f t="shared" si="34"/>
        <v>0.94154912742051156</v>
      </c>
      <c r="GL24" s="149">
        <f t="shared" si="15"/>
        <v>92.21435793731041</v>
      </c>
      <c r="GM24" s="149">
        <f t="shared" si="16"/>
        <v>96.079295154185019</v>
      </c>
      <c r="GN24" s="149">
        <f t="shared" si="17"/>
        <v>94.477317554240642</v>
      </c>
      <c r="GO24" s="149">
        <f t="shared" si="18"/>
        <v>96.223316912972095</v>
      </c>
      <c r="GP24" s="149">
        <f t="shared" si="19"/>
        <v>94.444444444444443</v>
      </c>
      <c r="GQ24" s="149">
        <f t="shared" si="19"/>
        <v>91.819852941176478</v>
      </c>
      <c r="GR24" s="153">
        <f>+IF(DG24="Suma",SUM(GL24:GQ24),AVERAGE(GL24:GQ24))</f>
        <v>94.209764157388179</v>
      </c>
      <c r="GS24" s="149">
        <f t="shared" si="37"/>
        <v>98.100380784372774</v>
      </c>
      <c r="GT24" s="149">
        <f>+IF(OR($A24=52,$A24=124),1,IFERROR(IF($X24="Creciente",IF($AB24="Número",SUM($GL24:GM24)/SUM($DO24:DP24)*($AX24-$AW24),SUM($GL24:GM24)/SUM($DO24:DP24))*($AX24-$AW24),IF($DG24="Creciente",GM24*GM24/GM24,IF(AND($DG24="Constante",$AB24="Porcentaje"),AVERAGEIF($GL24:GM24,"&lt;&gt;0")/AVERAGEIF($DO24:DP24,"&lt;&gt;0")*100,SUM($GL24:GM24)/SUM($DO24:DP24)*$DU24))),GS24))</f>
        <v>100.15619845292309</v>
      </c>
      <c r="GU24" s="149">
        <f>+IF(OR($A24=52,$A24=124),1,IFERROR(IF($X24="Creciente",IF($AB24="Número",SUM($GL24:GN24)/SUM($DO24:DQ24)*($AX24-$AW24),SUM($GL24:GN24)/SUM($DO24:DQ24))*($AX24-$AW24),IF($DG24="Creciente",GN24*GN24/GN24,IF(AND($DG24="Constante",$AB24="Porcentaje"),AVERAGEIF($GL24:GN24,"&lt;&gt;0")/AVERAGEIF($DO24:DQ24,"&lt;&gt;0")*100,SUM($GL24:GN24)/SUM($DO24:DQ24)*$DU24))),GT24))</f>
        <v>100.27339384600569</v>
      </c>
      <c r="GV24" s="149">
        <f>+IF(OR($A24=52,$A24=124),1,IFERROR(IF($X24="Creciente",IF($AB24="Número",SUM($GL24:GO24)/SUM($DO24:DR24)*($AX24-$AW24),SUM($GL24:GO24)/SUM($DO24:DR24))*($AX24-$AW24),IF($DG24="Creciente",GO24*GO24/GO24,IF(AND($DG24="Constante",$AB24="Porcentaje"),AVERAGEIF($GL24:GO24,"&lt;&gt;0")/AVERAGEIF($DO24:DR24,"&lt;&gt;0")*100,SUM($GL24:GO24)/SUM($DO24:DR24)*$DU24))),GU24))</f>
        <v>100.79635307412451</v>
      </c>
      <c r="GW24" s="149">
        <f>+IF(OR($A24=52,$A24=124),1,IFERROR(IF($X24="Creciente",IF($AB24="Número",SUM($GL24:GP24)/SUM($DO24:DS24)*($AX24-$AW24),SUM($GL24:GP24)/SUM($DO24:DS24))*($AX24-$AW24),IF($DG24="Creciente",GP24*GP24/GP24,IF(AND($DG24="Constante",$AB24="Porcentaje"),AVERAGEIF($GL24:GP24,"&lt;&gt;0")/AVERAGEIF($DO24:DS24,"&lt;&gt;0")*100,SUM($GL24:GP24)/SUM($DO24:DS24)*$DU24))),GV24))</f>
        <v>100.73164510705375</v>
      </c>
      <c r="GX24" s="149">
        <f>+IF(OR($A24=52,$A24=124),1,IFERROR(IF($X24="Creciente",IF($AB24="Número",SUM($GL24:GQ24)/SUM($DO24:DT24)*($AX24-$AW24),SUM($GL24:GQ24)/SUM($DO24:DT24))*($AX24-$AW24),IF($DG24="Creciente",GQ24*GQ24/GQ24,IF(AND($DG24="Constante",$AB24="Porcentaje"),AVERAGEIF($GL24:GQ24,"&lt;&gt;0")/AVERAGEIF($DO24:DT24,"&lt;&gt;0")*100,SUM($GL24:GQ24)/SUM($DO24:DT24)*$DU24))),GW24))</f>
        <v>100.2231533589236</v>
      </c>
      <c r="GY24" s="149" t="str">
        <f t="shared" si="28"/>
        <v>Mantener el porcentaje de 94% de incidentes o servicios informáticos solucionados  en el tiempo establecido como política o SLAs</v>
      </c>
      <c r="GZ24" s="149" t="str">
        <f t="shared" si="29"/>
        <v>• Solucionar las solicitudes de carácter técnica registradas en la Herramienta GLPI</v>
      </c>
      <c r="HA24" s="149" t="str">
        <f t="shared" si="30"/>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
      <c r="HB24" s="149" t="str">
        <f t="shared" si="31"/>
        <v>Reporte y/o consulta del Aplicativo GLPI</v>
      </c>
      <c r="HC24" s="149" t="str">
        <f t="shared" si="39"/>
        <v>Cumple</v>
      </c>
      <c r="HD24" s="149" t="str">
        <f t="shared" si="39"/>
        <v>Cumplido</v>
      </c>
      <c r="HE24" s="149" t="str">
        <f t="shared" si="39"/>
        <v>Adecuado</v>
      </c>
      <c r="HF24" s="149" t="str">
        <f t="shared" si="39"/>
        <v>Coherente</v>
      </c>
      <c r="HG24" s="149" t="str">
        <f t="shared" si="39"/>
        <v>Concuerda</v>
      </c>
      <c r="HH24" s="149" t="str">
        <f t="shared" si="39"/>
        <v>Concuerda</v>
      </c>
      <c r="HI24" s="149" t="str">
        <f t="shared" si="39"/>
        <v>No aplica</v>
      </c>
      <c r="HJ24" s="149" t="str">
        <f t="shared" si="39"/>
        <v>Adecuado</v>
      </c>
      <c r="HK24" s="149" t="str">
        <f t="shared" si="39"/>
        <v>Oportuna</v>
      </c>
      <c r="HL24" s="149" t="str">
        <f t="shared" si="39"/>
        <v>Ninguna</v>
      </c>
      <c r="HM24" s="149" t="str">
        <f t="shared" si="40"/>
        <v>Sandra Patricia Ortiz Barrera</v>
      </c>
      <c r="HN24" s="149" t="str">
        <f t="shared" si="40"/>
        <v>Cumple</v>
      </c>
      <c r="HO24" s="149" t="str">
        <f t="shared" si="40"/>
        <v>Cumplido</v>
      </c>
      <c r="HP24" s="149" t="str">
        <f t="shared" si="40"/>
        <v>Adecuado</v>
      </c>
      <c r="HQ24" s="149" t="str">
        <f t="shared" si="40"/>
        <v>Coherente</v>
      </c>
      <c r="HR24" s="149" t="str">
        <f t="shared" si="40"/>
        <v>Concuerda</v>
      </c>
      <c r="HS24" s="149" t="str">
        <f t="shared" si="40"/>
        <v>Concuerda</v>
      </c>
      <c r="HT24" s="149" t="str">
        <f t="shared" si="40"/>
        <v>No aplica</v>
      </c>
      <c r="HU24" s="149" t="str">
        <f t="shared" si="40"/>
        <v>Adecuado</v>
      </c>
      <c r="HV24" s="149" t="str">
        <f t="shared" si="40"/>
        <v>Oportuna</v>
      </c>
      <c r="HW24" s="149" t="str">
        <f t="shared" si="40"/>
        <v>Ninguna</v>
      </c>
      <c r="HX24" s="149">
        <f t="shared" si="40"/>
        <v>0</v>
      </c>
    </row>
    <row r="25" spans="1:241" s="149" customFormat="1" x14ac:dyDescent="0.3">
      <c r="A25" s="301" t="s">
        <v>349</v>
      </c>
      <c r="B25" s="302" t="s">
        <v>1144</v>
      </c>
      <c r="C25" s="302" t="s">
        <v>1144</v>
      </c>
      <c r="D25" s="302" t="s">
        <v>1144</v>
      </c>
      <c r="E25" s="302" t="s">
        <v>1144</v>
      </c>
      <c r="F25" s="303" t="s">
        <v>1337</v>
      </c>
      <c r="G25" s="302" t="s">
        <v>1144</v>
      </c>
      <c r="H25" s="302" t="s">
        <v>1144</v>
      </c>
      <c r="I25" s="303" t="s">
        <v>1146</v>
      </c>
      <c r="J25" s="304" t="s">
        <v>70</v>
      </c>
      <c r="K25" s="304" t="s">
        <v>71</v>
      </c>
      <c r="L25" s="304" t="s">
        <v>1338</v>
      </c>
      <c r="M25" s="304" t="s">
        <v>1316</v>
      </c>
      <c r="N25" s="304" t="s">
        <v>1339</v>
      </c>
      <c r="O25" s="304" t="s">
        <v>1340</v>
      </c>
      <c r="P25" s="303" t="s">
        <v>1337</v>
      </c>
      <c r="Q25" s="304" t="s">
        <v>1341</v>
      </c>
      <c r="R25" s="304" t="s">
        <v>1342</v>
      </c>
      <c r="S25" s="304" t="s">
        <v>1343</v>
      </c>
      <c r="T25" s="304" t="s">
        <v>1344</v>
      </c>
      <c r="U25" s="304" t="s">
        <v>1345</v>
      </c>
      <c r="V25" s="304" t="s">
        <v>1346</v>
      </c>
      <c r="W25" s="303" t="s">
        <v>661</v>
      </c>
      <c r="X25" s="304" t="s">
        <v>661</v>
      </c>
      <c r="Y25" s="304"/>
      <c r="Z25" s="304" t="s">
        <v>1347</v>
      </c>
      <c r="AA25" s="304" t="s">
        <v>1348</v>
      </c>
      <c r="AB25" s="304" t="s">
        <v>602</v>
      </c>
      <c r="AC25" s="304" t="s">
        <v>1293</v>
      </c>
      <c r="AD25" s="304" t="s">
        <v>1160</v>
      </c>
      <c r="AE25" s="304">
        <v>2018</v>
      </c>
      <c r="AF25" s="304">
        <v>0</v>
      </c>
      <c r="AG25" s="304">
        <v>2018</v>
      </c>
      <c r="AH25" s="304" t="s">
        <v>1161</v>
      </c>
      <c r="AI25" s="304" t="s">
        <v>1161</v>
      </c>
      <c r="AJ25" s="304">
        <v>1</v>
      </c>
      <c r="AK25" s="304">
        <v>1</v>
      </c>
      <c r="AL25" s="305">
        <v>0.3</v>
      </c>
      <c r="AM25" s="304">
        <v>1</v>
      </c>
      <c r="AN25" s="302" t="s">
        <v>1144</v>
      </c>
      <c r="AO25" s="302" t="s">
        <v>1144</v>
      </c>
      <c r="AP25" s="302" t="s">
        <v>1144</v>
      </c>
      <c r="AQ25" s="302" t="s">
        <v>1144</v>
      </c>
      <c r="AR25" s="302" t="s">
        <v>1144</v>
      </c>
      <c r="AS25" s="302" t="s">
        <v>1144</v>
      </c>
      <c r="AT25" s="306" t="s">
        <v>1161</v>
      </c>
      <c r="AU25" s="306" t="s">
        <v>1161</v>
      </c>
      <c r="AV25" s="306">
        <v>100</v>
      </c>
      <c r="AW25" s="306">
        <v>100</v>
      </c>
      <c r="AX25" s="307">
        <v>30</v>
      </c>
      <c r="AY25" s="306">
        <v>100</v>
      </c>
      <c r="AZ25" s="303"/>
      <c r="BA25" s="303"/>
      <c r="BB25" s="303"/>
      <c r="BC25" s="303"/>
      <c r="BD25" s="303">
        <v>0</v>
      </c>
      <c r="BE25" s="303"/>
      <c r="BF25" s="303"/>
      <c r="BG25" s="303"/>
      <c r="BH25" s="303"/>
      <c r="BI25" s="303"/>
      <c r="BJ25" s="303">
        <v>0</v>
      </c>
      <c r="BK25" s="302" t="s">
        <v>1144</v>
      </c>
      <c r="BL25" s="302" t="s">
        <v>1144</v>
      </c>
      <c r="BM25" s="302" t="s">
        <v>1144</v>
      </c>
      <c r="BN25" s="302" t="s">
        <v>1144</v>
      </c>
      <c r="BO25" s="302" t="s">
        <v>1144</v>
      </c>
      <c r="BP25" s="302" t="s">
        <v>1144</v>
      </c>
      <c r="BQ25" s="302" t="s">
        <v>1144</v>
      </c>
      <c r="BR25" s="302" t="s">
        <v>1144</v>
      </c>
      <c r="BS25" s="302" t="s">
        <v>1144</v>
      </c>
      <c r="BT25" s="302" t="s">
        <v>1144</v>
      </c>
      <c r="BU25" s="302" t="s">
        <v>1144</v>
      </c>
      <c r="BV25" s="302" t="s">
        <v>1144</v>
      </c>
      <c r="BW25" s="304" t="s">
        <v>1144</v>
      </c>
      <c r="BX25" s="304" t="s">
        <v>1144</v>
      </c>
      <c r="BY25" s="304">
        <v>1</v>
      </c>
      <c r="BZ25" s="304">
        <v>1</v>
      </c>
      <c r="CA25" s="304" t="s">
        <v>1144</v>
      </c>
      <c r="CB25" s="304" t="s">
        <v>1144</v>
      </c>
      <c r="CC25" s="304" t="s">
        <v>1144</v>
      </c>
      <c r="CD25" s="304" t="s">
        <v>1144</v>
      </c>
      <c r="CE25" s="304" t="s">
        <v>1144</v>
      </c>
      <c r="CF25" s="304" t="s">
        <v>1144</v>
      </c>
      <c r="CG25" s="304" t="s">
        <v>1144</v>
      </c>
      <c r="CH25" s="304" t="s">
        <v>1144</v>
      </c>
      <c r="CI25" s="304" t="s">
        <v>1144</v>
      </c>
      <c r="CJ25" s="304" t="s">
        <v>1144</v>
      </c>
      <c r="CK25" s="304" t="s">
        <v>1144</v>
      </c>
      <c r="CL25" s="304" t="s">
        <v>1144</v>
      </c>
      <c r="CM25" s="304" t="s">
        <v>1144</v>
      </c>
      <c r="CN25" s="304" t="s">
        <v>1144</v>
      </c>
      <c r="CO25" s="304" t="s">
        <v>1144</v>
      </c>
      <c r="CP25" s="304" t="s">
        <v>1144</v>
      </c>
      <c r="CQ25" s="304" t="s">
        <v>1144</v>
      </c>
      <c r="CR25" s="304" t="s">
        <v>1144</v>
      </c>
      <c r="CS25" s="304" t="s">
        <v>1144</v>
      </c>
      <c r="CT25" s="304" t="s">
        <v>1144</v>
      </c>
      <c r="CU25" s="304" t="s">
        <v>1144</v>
      </c>
      <c r="CV25" s="304" t="s">
        <v>1144</v>
      </c>
      <c r="CW25" s="304" t="s">
        <v>1144</v>
      </c>
      <c r="CX25" s="304" t="s">
        <v>1144</v>
      </c>
      <c r="CY25" s="304" t="s">
        <v>1144</v>
      </c>
      <c r="CZ25" s="304" t="s">
        <v>1144</v>
      </c>
      <c r="DA25" s="304" t="s">
        <v>1144</v>
      </c>
      <c r="DB25" s="308" t="str">
        <f t="shared" si="32"/>
        <v xml:space="preserve">Plan Estratégico Institucional, Plan de Acción, </v>
      </c>
      <c r="DC25" s="303" t="str">
        <f t="shared" si="41"/>
        <v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v>
      </c>
      <c r="DD25" s="303" t="str">
        <f t="shared" si="41"/>
        <v>Monitorear y evaluar la estrategia de promocion y desarrollo de servicios tic</v>
      </c>
      <c r="DE25" s="303" t="str">
        <f t="shared" si="41"/>
        <v>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
      <c r="DF25" s="303" t="str">
        <f t="shared" si="41"/>
        <v>ENERO:  Plan de trabajo - Acompañamiento de articulación con las entidades del Distrito para integrarlas al ERP BogData-SAP de la SDH
FEBRERO: Informe mensual de Acompañamiento de articulación con las entidades del Distrito. MARZO:  Informe mensual de Acompañamiento de articulación con las entidades del Distrito. ABRIL:  Informe mensual de Acompañamiento de articulación con las entidades del Distrito. MAYO: Gestión Estrategía Implementación ERP: Informe mensual de Acompañamiento de articulación con las entidades del Distrito.</v>
      </c>
      <c r="DG25" s="303" t="str">
        <f t="shared" si="41"/>
        <v>Suma</v>
      </c>
      <c r="DH25" s="303">
        <f t="shared" si="2"/>
        <v>2.3900000000000005E-2</v>
      </c>
      <c r="DI25" s="303">
        <f t="shared" si="3"/>
        <v>4.0000000000000001E-3</v>
      </c>
      <c r="DJ25" s="303">
        <f t="shared" si="4"/>
        <v>3.98E-3</v>
      </c>
      <c r="DK25" s="303">
        <f t="shared" si="5"/>
        <v>3.98E-3</v>
      </c>
      <c r="DL25" s="303">
        <f t="shared" si="6"/>
        <v>3.98E-3</v>
      </c>
      <c r="DM25" s="303">
        <f t="shared" si="7"/>
        <v>3.98E-3</v>
      </c>
      <c r="DN25" s="303">
        <f t="shared" si="36"/>
        <v>3.98E-3</v>
      </c>
      <c r="DO25" s="303">
        <f t="shared" si="38"/>
        <v>5.0209205020920491</v>
      </c>
      <c r="DP25" s="303">
        <f t="shared" si="38"/>
        <v>4.9958158995815891</v>
      </c>
      <c r="DQ25" s="303">
        <f t="shared" si="38"/>
        <v>4.9958158995815891</v>
      </c>
      <c r="DR25" s="303">
        <f t="shared" si="38"/>
        <v>4.9958158995815891</v>
      </c>
      <c r="DS25" s="303">
        <f t="shared" si="38"/>
        <v>4.9958158995815891</v>
      </c>
      <c r="DT25" s="303">
        <f t="shared" si="38"/>
        <v>4.9958158995815891</v>
      </c>
      <c r="DU25" s="303">
        <f t="shared" si="42"/>
        <v>30</v>
      </c>
      <c r="DV25" s="303">
        <f t="shared" si="42"/>
        <v>0.39800000000000002</v>
      </c>
      <c r="DW25" s="303">
        <f t="shared" si="42"/>
        <v>0.39800000000000002</v>
      </c>
      <c r="DX25" s="303" t="str">
        <f t="shared" si="42"/>
        <v>Se elaboró el plan 2020 para la Gestión de apoyo a la Implementación del ERP Distrital BogData de la Secretaría Distrital de Hacienda en las demás entidades del Distrito.</v>
      </c>
      <c r="DY25" s="303" t="str">
        <f t="shared" si="42"/>
        <v>No se presentaron retrasos en el periodo</v>
      </c>
      <c r="DZ25" s="303" t="str">
        <f t="shared" si="42"/>
        <v xml:space="preserve">Gestión Estrategía Implementación ERP:
Beneficios: 
Disponer de un plan que permita gestionar el apoyo de la implementación del ERP BogData basado en SAP de la Secretaría Distrital de Hacienda – SDH y </v>
      </c>
      <c r="EA25" s="303">
        <f t="shared" si="42"/>
        <v>0.39800000000000002</v>
      </c>
      <c r="EB25" s="303">
        <f t="shared" si="42"/>
        <v>0.79600000000000004</v>
      </c>
      <c r="EC25" s="303" t="str">
        <f t="shared" si="42"/>
        <v xml:space="preserve">Gestión Estrategía Implementación ERP: La Secretaría Distrital de Hacienda presentó el consolidado del inventario de Interoperabilidad con las Entidades Distritales y se validó con la alta Consejería Distrital de TIC, el cuadro del estado actual de las entidades distritales, con el fin de establecer avance en la integración de cada entidad al BOGDATA y se laboró el correspondiente Informe de Gestión del mes.
Se adelantaron reuniones con SDH y la ACDTIC, así como sesión plenaria con los miembros de la Comisión Distrital de Sistemas, entidades cabeza de sector y organismos del control del Distrito Capital, para mostrar el avance y coordinación acciones para la implementación del ERP en las entidades, Además, se adelantaron acciones de socialización con algunas entidades distritales (Secretarias de Gobierno, General, Jurídica y Veeduría) con el objeto de aclarar las dudas, retrasos y avances que se les ha presentado en el Proyecto BogData.  Y finalmente la Secretaría General adelanta el desarrollo de requerimientos para el reporte de Cuentas por pagar CXP nómina que sirva de modelo o piloto para otras Entidades Distritales.   Proyecto BogData. </v>
      </c>
      <c r="ED25" s="303" t="str">
        <f t="shared" si="42"/>
        <v>No se presentaron retrasos en el periodo</v>
      </c>
      <c r="EE25" s="303" t="str">
        <f t="shared" si="43"/>
        <v xml:space="preserve">Gestión Estrategía Implementación ERP:
Gestionar el apoyo de la implementación del ERP BogData basado en SAP de la Secretaría Distrital de Hacienda – SDH y facilitar la integración de las Entidades Distritales a dicha solución atendiendo los lineamientos y plantillas definidas por la SDH. </v>
      </c>
      <c r="EF25" s="303">
        <f t="shared" si="43"/>
        <v>0.39800000000000002</v>
      </c>
      <c r="EG25" s="303">
        <f t="shared" si="43"/>
        <v>1.194</v>
      </c>
      <c r="EH25" s="303" t="str">
        <f t="shared" si="43"/>
        <v>Gestión Estrategía Implementación ERP:
La ACDTIC en coordinación con la SDH, realizaron el consolidado del listado de funcionarios de cada entidad a quienes se les dictará entrenamiento del ERP BOGDATA, cuentas de usuarios a las cuales se les asignará licencia de acceso SAP y se identificó el inventario de equipos PC e impresoras desde donde las entidades accederán vía Internet al BogData.
El equipo del Proyecto BogData de la SDH, con el apoyo de la Alta Consejería Distrital TIC, realizaron reuniones presenciales y virtuales con las entidades distritales que han enviado los archivos de Pago de Nómina, OP, CXP con el fin de validar la subida a Bogdata y las necesidades que se han presentado en relación con los extractores, de igual manera se realizaron reuniones con las entidades que a la fecha no han enviado ninguna información. Entidades reunidas: Personería de Bogotá, Secretarías de Seguridad, Hábitat, Mujer, Cultura, Instituto de Investigación Educativa y Desarrollo IDEP, Orqueta Filarmónica de Bogotá, Universidad Distrital, Instituto de Recreación y Deportes, Fundación Gilberto álzate Abendaño, UAE Bomberos. Servicio Civil. 
Se realizó el informe de Gestión de implementación de la Entidades al ERP BOGDATA con su cuadro de estado por entidades, UNIVERSO DE ENTIDADES : 88,  módulos a integrar (Presupuesto, Tesorería, Contabilidad y Terceros), en cuanto al avance que han realizado las entidades frente a las PLANTILLAS DE PRESUPUESTO: Total 5 entidades, avance = 14%. PLANTILLAS DE TESORERIA: Total 28 Entidades, Entidades que han enviado información=6, avance = 26%. PLANTILLAS EXTRACTORES (Reportes): total 9 Entiades (son las entidades que tenían convenio con SI Capital que manejaban el Export), entidades que han enviado información= 5, avance = 17%. MODULO DE CONTABLIDAD: Se realizará la instalación del agente SAP-BPC en los clientes 88 entidades, se realizarán pruebas con Planeación, DADEP, General y Catastro, se están resolviendo temas de conexión y MODULO DE TERCEROS: Se enviaron las plantillas de terceros a todas las entidades, cuando BogData esté en producción las entidades las envíen a la SDH - Dirección Distrital de Contabilidad con el fin de crearlos.</v>
      </c>
      <c r="EI25" s="303" t="str">
        <f t="shared" si="43"/>
        <v>No se presentaron retrasos en el periodo</v>
      </c>
      <c r="EJ25" s="303" t="str">
        <f t="shared" si="43"/>
        <v xml:space="preserve">Gestión y promoción  Estrategia de Implementación ERP:
Gestionar el apoyo de la implementación del ERP BogData basado en SAP de la Secretaría Distrital de Hacienda – SDH y facilitar la integración de las Entidades Distritales a dicha solución atendiendo los lineamientos y plantillas definidas por la SDH. </v>
      </c>
      <c r="EK25" s="303">
        <f t="shared" si="43"/>
        <v>0.39800000000000002</v>
      </c>
      <c r="EL25" s="303">
        <f t="shared" si="43"/>
        <v>1.5920000000000001</v>
      </c>
      <c r="EM25" s="303" t="str">
        <f t="shared" si="43"/>
        <v>Gestión estratégica de Implementación del ERP: Se logró la elaboración del informe de gestión del Convenio 4130000-642 de 2017 donde se registran las acciones adelantadas por la SDH y la SGRAL, para articular acciones que permitan a las entidades distritales la integración con el ERP que implementa la SDH, informe remitido a la Dirección de Contratación, con radicado 3-2020-11201.
La ACDTIC y la SDH, realizaron reuniones virtuales con las entidades  a las que se les presentó el proyecto ERP BogData, dando a conocer cómo se deben interconectar con los módulos de Presupuesto, Tesorería, Consolidados de Contabilidad y Terceros, explica de manera general la parte presupuestal, el módulo de Tesorería deberán usar plantillas y las operaciones que se debe tener en cuenta para su equivalencia en SAP, según procedimiento publicado en la página web de la SDH en la pestaña BogData, http://www.shd.gov.co/shd/bogdata. Las entidades participantes:  Secretaría Jurídica Distrital y Secretaría de la Mujer. De otra parte, mediante correo electrónico se ha requerido a las entidades el avance del desarrollo de archivos planos según las Plantillas de CXP (Proveedores – Nómina) establecidas por la SDH y se mantiene actualizado el cuadro Excel con el avance de estado de entidades frente a la Integración BogData.</v>
      </c>
      <c r="EN25" s="303" t="str">
        <f t="shared" si="43"/>
        <v>No se presentaron retrasos en el periodo</v>
      </c>
      <c r="EO25" s="303" t="str">
        <f t="shared" si="44"/>
        <v>Gestión y promoción  Estrategia de Implementación ERP:
Gestionar el apoyo de la implementación del ERP BogData basado en SAP de la SDH y facilitar la integración de las Entidades Distritales a dicha solución atendiendo los lineamientos y plantillas definidas por la SDH. Asimismo, se ha logrado mantener actualizado el avance de las diferentes entidades para poder contar con información oportuna y de calidad que permita reaccionar eficazmente ante cualquier eventualidad.</v>
      </c>
      <c r="EP25" s="303">
        <f t="shared" si="44"/>
        <v>0.39800000000000002</v>
      </c>
      <c r="EQ25" s="303">
        <f t="shared" si="44"/>
        <v>1.99</v>
      </c>
      <c r="ER25" s="303" t="str">
        <f t="shared" si="44"/>
        <v>Gestión estratégica de Implementación del ERP: Durante el periodo los Supervisores de los Convenios 4130000-642 y 4130000-663 de 2017 validaron las obligaciones específicas de los convenios, con sus avances y actividades desarrolladas, para ello se elaboraron los informes de gestión  por cada convenio y remitidos a la Dirección de Contratación con radicados 3-2020-11200 Convenio 642 de 2017 y 3-2020-11202 Convenio 663 de 2017.
La SDH informó que la fecha de salida en vivo es el 6 de julio de 2020, por ello a inicio de junio se enviará un comunicado por parte del Secretario General de la SDH a las entidades, para que las entidades se preparen oportunamente y retomen la logística requerida.  
La ACDTIC en coordinación con la SDH, ha reiterado desde el correo institucional de la Consejería, a los directores Corporativos de las entidades que no lo han hecho, la solicitud de remitir a la SDH el listado de  funcionarios de cada entidad a quienes se les dictará entrenamiento del ERP BOGDATA y asignación de la cuenta de usuario a las cuales se les asignará licencia de acceso SAP, permitiendo actualizar dicho inventario de recurso humano y del inventario de equipos PC e impresoras desde donde las entidades accederán vía Internet a BogData. 
El equipo del Proyecto BogData de la SDH, con el apoyo de la Consejería TIC, realizaron reuniones virtuales con las entidades distritales impartiendo instrucciones y resolviendo dudas para el diligenciamiento de los archivos, según plantillas, para la interoperabilidad de las cuentas por pagar Nómina, Ordenes de Pago, con el fin de validar la subida al ERP BogData, con las siguientes entidades: Secretaría Distrital de Integración Social, UAE Bomberos, Instituto para la Investigación Educativa y el Desarrollo Pedagógico IDEP, Instituto para la Economía Social IPES, Instituto Distrital de Protección y Bienestar Animal, Secretaría de Gobierno y Jardín Botánico y el  Instituto Distrital de Recreación y Deporte IDRD. De igual manera, con el equipo de la SDH y la Consejería TIC se actualizó el consolidado del cuadro Excel con el avance de estado de entidades frente a la Integración BogData.</v>
      </c>
      <c r="ES25" s="303" t="str">
        <f t="shared" si="44"/>
        <v>No se presentaron retrasos en el periodo</v>
      </c>
      <c r="ET25" s="303" t="str">
        <f t="shared" si="44"/>
        <v>Gestión y promoción  Estrategia de Implementación ERP:
Se articulan acciones en conjunto con la SDH, con el fin de integrar el ERP BogData de la SDH a los sistemas de las entidades distritales que gestionan la información administrativa y financiera de tal manera que todas las acciones realizadas permitan la salida en vivo el 6 de julio del presente como se mencionó previamente. Asimismo, se ha logrado mantener actualizado el avance de las diferentes entidades para poder contar con información oportuna y de calidad que permita reaccionar eficazmente ante cualquier eventualidad.</v>
      </c>
      <c r="EU25" s="303" t="str">
        <f t="shared" si="44"/>
        <v/>
      </c>
      <c r="EV25" s="303" t="str">
        <f t="shared" si="44"/>
        <v/>
      </c>
      <c r="EW25" s="303" t="str">
        <f t="shared" si="44"/>
        <v/>
      </c>
      <c r="EX25" s="303" t="str">
        <f t="shared" si="44"/>
        <v/>
      </c>
      <c r="EY25" s="303" t="str">
        <f t="shared" si="44"/>
        <v/>
      </c>
      <c r="EZ25" s="303">
        <f t="shared" si="44"/>
        <v>1.9900000000000002</v>
      </c>
      <c r="FA25" s="303">
        <f t="shared" si="44"/>
        <v>5.97</v>
      </c>
      <c r="FB25" s="303" t="str">
        <f t="shared" si="44"/>
        <v/>
      </c>
      <c r="FC25" s="303" t="str">
        <f t="shared" si="44"/>
        <v/>
      </c>
      <c r="FD25" s="303" t="str">
        <f t="shared" si="45"/>
        <v/>
      </c>
      <c r="FE25" s="303" t="str">
        <f t="shared" si="45"/>
        <v/>
      </c>
      <c r="FF25" s="303" t="str">
        <f t="shared" si="45"/>
        <v/>
      </c>
      <c r="FG25" s="303" t="str">
        <f t="shared" si="45"/>
        <v/>
      </c>
      <c r="FH25" s="303" t="str">
        <f t="shared" si="45"/>
        <v/>
      </c>
      <c r="FI25" s="303" t="str">
        <f t="shared" si="45"/>
        <v/>
      </c>
      <c r="FJ25" s="303" t="str">
        <f t="shared" si="45"/>
        <v/>
      </c>
      <c r="FK25" s="303" t="str">
        <f t="shared" si="45"/>
        <v/>
      </c>
      <c r="FL25" s="303" t="str">
        <f t="shared" si="45"/>
        <v/>
      </c>
      <c r="FM25" s="303" t="str">
        <f t="shared" si="45"/>
        <v/>
      </c>
      <c r="FN25" s="303" t="str">
        <f t="shared" si="46"/>
        <v/>
      </c>
      <c r="FO25" s="303" t="str">
        <f t="shared" si="46"/>
        <v/>
      </c>
      <c r="FP25" s="303" t="str">
        <f t="shared" si="46"/>
        <v/>
      </c>
      <c r="FQ25" s="303" t="str">
        <f t="shared" si="46"/>
        <v/>
      </c>
      <c r="FR25" s="303" t="str">
        <f t="shared" si="46"/>
        <v/>
      </c>
      <c r="FS25" s="303" t="str">
        <f t="shared" si="46"/>
        <v/>
      </c>
      <c r="FT25" s="303" t="str">
        <f t="shared" si="46"/>
        <v/>
      </c>
      <c r="FU25" s="303" t="str">
        <f t="shared" si="46"/>
        <v/>
      </c>
      <c r="FV25" s="303" t="str">
        <f t="shared" si="46"/>
        <v/>
      </c>
      <c r="FW25" s="303" t="str">
        <f t="shared" si="46"/>
        <v/>
      </c>
      <c r="FX25" s="303" t="str">
        <f t="shared" si="47"/>
        <v/>
      </c>
      <c r="FY25" s="303" t="str">
        <f t="shared" si="47"/>
        <v/>
      </c>
      <c r="FZ25" s="303" t="str">
        <f t="shared" si="47"/>
        <v/>
      </c>
      <c r="GA25" s="303" t="str">
        <f t="shared" si="47"/>
        <v/>
      </c>
      <c r="GB25" s="303" t="str">
        <f t="shared" si="47"/>
        <v/>
      </c>
      <c r="GC25" s="303" t="str">
        <f t="shared" si="47"/>
        <v/>
      </c>
      <c r="GD25" s="303" t="str">
        <f t="shared" si="47"/>
        <v/>
      </c>
      <c r="GE25" s="303" t="str">
        <f t="shared" si="47"/>
        <v/>
      </c>
      <c r="GF25" s="303">
        <f t="shared" si="33"/>
        <v>1</v>
      </c>
      <c r="GG25" s="303">
        <f t="shared" si="22"/>
        <v>0.5</v>
      </c>
      <c r="GH25" s="303">
        <f t="shared" si="23"/>
        <v>0.33333333333333337</v>
      </c>
      <c r="GI25" s="303">
        <f t="shared" si="24"/>
        <v>0.25</v>
      </c>
      <c r="GJ25" s="303">
        <f t="shared" si="25"/>
        <v>0.2</v>
      </c>
      <c r="GK25" s="303">
        <f t="shared" si="34"/>
        <v>0.33333333333333337</v>
      </c>
      <c r="GL25" s="303">
        <f t="shared" si="15"/>
        <v>1665.2719665271964</v>
      </c>
      <c r="GM25" s="303">
        <f t="shared" si="16"/>
        <v>1665.2719665271964</v>
      </c>
      <c r="GN25" s="303">
        <f t="shared" si="17"/>
        <v>1665.2719665271964</v>
      </c>
      <c r="GO25" s="303">
        <f t="shared" si="18"/>
        <v>1665.2719665271964</v>
      </c>
      <c r="GP25" s="303">
        <f t="shared" si="19"/>
        <v>1665.2719665271964</v>
      </c>
      <c r="GQ25" s="303">
        <f t="shared" si="19"/>
        <v>0</v>
      </c>
      <c r="GR25" s="309">
        <f>+IF(DG25="Suma",SUM(GL25:GQ25),AVERAGE(GL25:GQ25))</f>
        <v>8326.3598326359825</v>
      </c>
      <c r="GS25" s="303">
        <f t="shared" si="37"/>
        <v>-23216.666666666668</v>
      </c>
      <c r="GT25" s="303">
        <f>+IF(OR($A25=52,$A25=124),1,IFERROR(IF($X25="Creciente",IF($AB25="Número",SUM($GL25:GM25)/SUM($DO25:DP25)*($AX25-$AW25),SUM($GL25:GM25)/SUM($DO25:DP25))*($AX25-$AW25),IF($DG25="Creciente",GM25*GM25/GM25,IF(AND($DG25="Constante",$AB25="Porcentaje"),AVERAGEIF($GL25:GM25,"&lt;&gt;0")/AVERAGEIF($DO25:DP25,"&lt;&gt;0")*100,SUM($GL25:GM25)/SUM($DO25:DP25)*$DU25))),GS25))</f>
        <v>-23274.853801169593</v>
      </c>
      <c r="GU25" s="303">
        <f>+IF(OR($A25=52,$A25=124),1,IFERROR(IF($X25="Creciente",IF($AB25="Número",SUM($GL25:GN25)/SUM($DO25:DQ25)*($AX25-$AW25),SUM($GL25:GN25)/SUM($DO25:DQ25))*($AX25-$AW25),IF($DG25="Creciente",GN25*GN25/GN25,IF(AND($DG25="Constante",$AB25="Porcentaje"),AVERAGEIF($GL25:GN25,"&lt;&gt;0")/AVERAGEIF($DO25:DQ25,"&lt;&gt;0")*100,SUM($GL25:GN25)/SUM($DO25:DQ25)*$DU25))),GT25))</f>
        <v>-23294.314381270906</v>
      </c>
      <c r="GV25" s="303">
        <f>+IF(OR($A25=52,$A25=124),1,IFERROR(IF($X25="Creciente",IF($AB25="Número",SUM($GL25:GO25)/SUM($DO25:DR25)*($AX25-$AW25),SUM($GL25:GO25)/SUM($DO25:DR25))*($AX25-$AW25),IF($DG25="Creciente",GO25*GO25/GO25,IF(AND($DG25="Constante",$AB25="Porcentaje"),AVERAGEIF($GL25:GO25,"&lt;&gt;0")/AVERAGEIF($DO25:DR25,"&lt;&gt;0")*100,SUM($GL25:GO25)/SUM($DO25:DR25)*$DU25))),GU25))</f>
        <v>-23304.056879966542</v>
      </c>
      <c r="GW25" s="303">
        <f>+IF(OR($A25=52,$A25=124),1,IFERROR(IF($X25="Creciente",IF($AB25="Número",SUM($GL25:GP25)/SUM($DO25:DS25)*($AX25-$AW25),SUM($GL25:GP25)/SUM($DO25:DS25))*($AX25-$AW25),IF($DG25="Creciente",GP25*GP25/GP25,IF(AND($DG25="Constante",$AB25="Porcentaje"),AVERAGEIF($GL25:GP25,"&lt;&gt;0")/AVERAGEIF($DO25:DS25,"&lt;&gt;0")*100,SUM($GL25:GP25)/SUM($DO25:DS25)*$DU25))),GV25))</f>
        <v>-23309.906291834006</v>
      </c>
      <c r="GX25" s="303">
        <f>+IF(OR($A25=52,$A25=124),1,IFERROR(IF($X25="Creciente",IF($AB25="Número",SUM($GL25:GQ25)/SUM($DO25:DT25)*($AX25-$AW25),SUM($GL25:GQ25)/SUM($DO25:DT25))*($AX25-$AW25),IF($DG25="Creciente",GQ25*GQ25/GQ25,IF(AND($DG25="Constante",$AB25="Porcentaje"),AVERAGEIF($GL25:GQ25,"&lt;&gt;0")/AVERAGEIF($DO25:DT25,"&lt;&gt;0")*100,SUM($GL25:GQ25)/SUM($DO25:DT25)*$DU25))),GW25))</f>
        <v>-19428.172942817295</v>
      </c>
      <c r="GY25" s="303" t="str">
        <f t="shared" si="28"/>
        <v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v>
      </c>
      <c r="GZ25" s="303" t="str">
        <f t="shared" si="29"/>
        <v>Monitorear y evaluar la estrategia de promocion y desarrollo de servicios tic</v>
      </c>
      <c r="HA25" s="303" t="str">
        <f t="shared" si="30"/>
        <v>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
      <c r="HB25" s="303" t="str">
        <f t="shared" si="31"/>
        <v>ENERO:  Plan de trabajo - Acompañamiento de articulación con las entidades del Distrito para integrarlas al ERP BogData-SAP de la SDH
FEBRERO: Informe mensual de Acompañamiento de articulación con las entidades del Distrito. MARZO:  Informe mensual de Acompañamiento de articulación con las entidades del Distrito. ABRIL:  Informe mensual de Acompañamiento de articulación con las entidades del Distrito. MAYO: Gestión Estrategía Implementación ERP: Informe mensual de Acompañamiento de articulación con las entidades del Distrito.</v>
      </c>
      <c r="HC25" s="149">
        <f t="shared" si="39"/>
        <v>0</v>
      </c>
      <c r="HD25" s="149">
        <f t="shared" si="39"/>
        <v>0</v>
      </c>
      <c r="HE25" s="149">
        <f t="shared" si="39"/>
        <v>0</v>
      </c>
      <c r="HF25" s="149">
        <f t="shared" si="39"/>
        <v>0</v>
      </c>
      <c r="HG25" s="149">
        <f t="shared" si="39"/>
        <v>0</v>
      </c>
      <c r="HH25" s="149">
        <f t="shared" si="39"/>
        <v>0</v>
      </c>
      <c r="HI25" s="149">
        <f t="shared" si="39"/>
        <v>0</v>
      </c>
      <c r="HJ25" s="149">
        <f t="shared" si="39"/>
        <v>0</v>
      </c>
      <c r="HK25" s="149">
        <f t="shared" si="39"/>
        <v>0</v>
      </c>
      <c r="HL25" s="149">
        <f t="shared" si="39"/>
        <v>0</v>
      </c>
      <c r="HM25" s="149">
        <f t="shared" si="40"/>
        <v>0</v>
      </c>
      <c r="HN25" s="149">
        <f t="shared" si="40"/>
        <v>0</v>
      </c>
      <c r="HO25" s="149">
        <f t="shared" si="40"/>
        <v>0</v>
      </c>
      <c r="HP25" s="149">
        <f t="shared" si="40"/>
        <v>0</v>
      </c>
      <c r="HQ25" s="149">
        <f t="shared" si="40"/>
        <v>0</v>
      </c>
      <c r="HR25" s="149">
        <f t="shared" si="40"/>
        <v>0</v>
      </c>
      <c r="HS25" s="149">
        <f t="shared" si="40"/>
        <v>0</v>
      </c>
      <c r="HT25" s="149">
        <f t="shared" si="40"/>
        <v>0</v>
      </c>
      <c r="HU25" s="149">
        <f t="shared" si="40"/>
        <v>0</v>
      </c>
      <c r="HV25" s="149">
        <f t="shared" si="40"/>
        <v>0</v>
      </c>
      <c r="HW25" s="149">
        <f t="shared" si="40"/>
        <v>0</v>
      </c>
      <c r="HX25" s="149">
        <f t="shared" si="40"/>
        <v>0</v>
      </c>
      <c r="HY25" s="303"/>
      <c r="HZ25" s="303"/>
      <c r="IA25" s="303"/>
      <c r="IB25" s="303"/>
      <c r="IC25" s="303"/>
      <c r="ID25" s="303"/>
      <c r="IE25" s="303"/>
      <c r="IF25" s="303"/>
      <c r="IG25" s="303"/>
    </row>
    <row r="26" spans="1:241" s="149" customFormat="1" x14ac:dyDescent="0.3">
      <c r="A26" s="301" t="s">
        <v>350</v>
      </c>
      <c r="B26" s="302" t="s">
        <v>1144</v>
      </c>
      <c r="C26" s="302" t="s">
        <v>1144</v>
      </c>
      <c r="D26" s="302" t="s">
        <v>1144</v>
      </c>
      <c r="E26" s="302" t="s">
        <v>1144</v>
      </c>
      <c r="F26" s="303" t="s">
        <v>1349</v>
      </c>
      <c r="G26" s="302" t="s">
        <v>1144</v>
      </c>
      <c r="H26" s="302" t="s">
        <v>1144</v>
      </c>
      <c r="I26" s="303" t="s">
        <v>1146</v>
      </c>
      <c r="J26" s="304" t="s">
        <v>70</v>
      </c>
      <c r="K26" s="304" t="s">
        <v>71</v>
      </c>
      <c r="L26" s="304" t="s">
        <v>1338</v>
      </c>
      <c r="M26" s="304" t="s">
        <v>1316</v>
      </c>
      <c r="N26" s="304" t="s">
        <v>1317</v>
      </c>
      <c r="O26" s="304" t="s">
        <v>1350</v>
      </c>
      <c r="P26" s="303" t="s">
        <v>1349</v>
      </c>
      <c r="Q26" s="304" t="s">
        <v>1351</v>
      </c>
      <c r="R26" s="304" t="s">
        <v>1352</v>
      </c>
      <c r="S26" s="304" t="s">
        <v>1353</v>
      </c>
      <c r="T26" s="304" t="s">
        <v>1354</v>
      </c>
      <c r="U26" s="304">
        <v>0</v>
      </c>
      <c r="V26" s="304" t="s">
        <v>1355</v>
      </c>
      <c r="W26" s="303" t="s">
        <v>661</v>
      </c>
      <c r="X26" s="304" t="s">
        <v>661</v>
      </c>
      <c r="Y26" s="304" t="s">
        <v>1356</v>
      </c>
      <c r="Z26" s="304" t="s">
        <v>1357</v>
      </c>
      <c r="AA26" s="304" t="s">
        <v>1358</v>
      </c>
      <c r="AB26" s="304" t="s">
        <v>639</v>
      </c>
      <c r="AC26" s="304" t="s">
        <v>1293</v>
      </c>
      <c r="AD26" s="304" t="s">
        <v>1031</v>
      </c>
      <c r="AE26" s="304">
        <v>2018</v>
      </c>
      <c r="AF26" s="304">
        <v>32</v>
      </c>
      <c r="AG26" s="304">
        <v>2017</v>
      </c>
      <c r="AH26" s="304" t="s">
        <v>1161</v>
      </c>
      <c r="AI26" s="304" t="s">
        <v>1161</v>
      </c>
      <c r="AJ26" s="304" t="s">
        <v>1161</v>
      </c>
      <c r="AK26" s="304">
        <v>1000</v>
      </c>
      <c r="AL26" s="305">
        <v>138</v>
      </c>
      <c r="AM26" s="304">
        <v>138</v>
      </c>
      <c r="AN26" s="302" t="s">
        <v>1144</v>
      </c>
      <c r="AO26" s="302" t="s">
        <v>1144</v>
      </c>
      <c r="AP26" s="302" t="s">
        <v>1144</v>
      </c>
      <c r="AQ26" s="302" t="s">
        <v>1144</v>
      </c>
      <c r="AR26" s="302" t="s">
        <v>1144</v>
      </c>
      <c r="AS26" s="302" t="s">
        <v>1144</v>
      </c>
      <c r="AT26" s="306" t="s">
        <v>1161</v>
      </c>
      <c r="AU26" s="306" t="s">
        <v>1161</v>
      </c>
      <c r="AV26" s="306" t="s">
        <v>1161</v>
      </c>
      <c r="AW26" s="306">
        <v>1000</v>
      </c>
      <c r="AX26" s="307">
        <v>69</v>
      </c>
      <c r="AY26" s="306">
        <v>138</v>
      </c>
      <c r="AZ26" s="303"/>
      <c r="BA26" s="303"/>
      <c r="BB26" s="303"/>
      <c r="BC26" s="303"/>
      <c r="BD26" s="303">
        <v>0</v>
      </c>
      <c r="BE26" s="303"/>
      <c r="BF26" s="303"/>
      <c r="BG26" s="303"/>
      <c r="BH26" s="303"/>
      <c r="BI26" s="303"/>
      <c r="BJ26" s="303">
        <v>0</v>
      </c>
      <c r="BK26" s="302" t="s">
        <v>1144</v>
      </c>
      <c r="BL26" s="302" t="s">
        <v>1144</v>
      </c>
      <c r="BM26" s="302" t="s">
        <v>1144</v>
      </c>
      <c r="BN26" s="302" t="s">
        <v>1144</v>
      </c>
      <c r="BO26" s="302" t="s">
        <v>1144</v>
      </c>
      <c r="BP26" s="302" t="s">
        <v>1144</v>
      </c>
      <c r="BQ26" s="302" t="s">
        <v>1144</v>
      </c>
      <c r="BR26" s="302" t="s">
        <v>1144</v>
      </c>
      <c r="BS26" s="302" t="s">
        <v>1144</v>
      </c>
      <c r="BT26" s="302" t="s">
        <v>1144</v>
      </c>
      <c r="BU26" s="302" t="s">
        <v>1144</v>
      </c>
      <c r="BV26" s="302" t="s">
        <v>1144</v>
      </c>
      <c r="BW26" s="304" t="s">
        <v>1144</v>
      </c>
      <c r="BX26" s="304" t="s">
        <v>1144</v>
      </c>
      <c r="BY26" s="304" t="s">
        <v>1144</v>
      </c>
      <c r="BZ26" s="304" t="s">
        <v>1144</v>
      </c>
      <c r="CA26" s="304" t="s">
        <v>1144</v>
      </c>
      <c r="CB26" s="304" t="s">
        <v>1144</v>
      </c>
      <c r="CC26" s="304" t="s">
        <v>1144</v>
      </c>
      <c r="CD26" s="304" t="s">
        <v>1144</v>
      </c>
      <c r="CE26" s="304" t="s">
        <v>1144</v>
      </c>
      <c r="CF26" s="304" t="s">
        <v>1144</v>
      </c>
      <c r="CG26" s="304" t="s">
        <v>1144</v>
      </c>
      <c r="CH26" s="304" t="s">
        <v>1144</v>
      </c>
      <c r="CI26" s="304" t="s">
        <v>1144</v>
      </c>
      <c r="CJ26" s="304" t="s">
        <v>1144</v>
      </c>
      <c r="CK26" s="304" t="s">
        <v>1144</v>
      </c>
      <c r="CL26" s="304" t="s">
        <v>1144</v>
      </c>
      <c r="CM26" s="304" t="s">
        <v>1144</v>
      </c>
      <c r="CN26" s="304" t="s">
        <v>1144</v>
      </c>
      <c r="CO26" s="304" t="s">
        <v>1144</v>
      </c>
      <c r="CP26" s="304" t="s">
        <v>1144</v>
      </c>
      <c r="CQ26" s="304" t="s">
        <v>1144</v>
      </c>
      <c r="CR26" s="304" t="s">
        <v>1144</v>
      </c>
      <c r="CS26" s="304" t="s">
        <v>1144</v>
      </c>
      <c r="CT26" s="304" t="s">
        <v>1144</v>
      </c>
      <c r="CU26" s="304" t="s">
        <v>1144</v>
      </c>
      <c r="CV26" s="304" t="s">
        <v>1144</v>
      </c>
      <c r="CW26" s="304" t="s">
        <v>1359</v>
      </c>
      <c r="CX26" s="304" t="s">
        <v>1144</v>
      </c>
      <c r="CY26" s="304" t="s">
        <v>1144</v>
      </c>
      <c r="CZ26" s="304" t="s">
        <v>1144</v>
      </c>
      <c r="DA26" s="304" t="s">
        <v>1144</v>
      </c>
      <c r="DB26" s="308" t="str">
        <f t="shared" si="32"/>
        <v xml:space="preserve">01_CONPES 1.1.10, </v>
      </c>
      <c r="DC26" s="303" t="str">
        <f t="shared" si="41"/>
        <v xml:space="preserve">Este indicador se encarga de la medición de la cantidad de datasets publicados en el portal de datos abiertos de Bogotá datosabiertos.bogota.gov.co, esta medición se realiza basados en las ordenanzas que estipula la Ley 1712 del 6 de marzo de 2014 </v>
      </c>
      <c r="DD26" s="303" t="str">
        <f t="shared" si="41"/>
        <v>Monitorear y evaluar la estrategia de promocion y desarrollo de servicios tic</v>
      </c>
      <c r="DE26" s="303" t="str">
        <f t="shared" si="41"/>
        <v>Datos Abiertos: Generar emprendimiento, innovación, gobierno abierto y cumplimiento de la política de transparencia por parte de las entidades distritales.</v>
      </c>
      <c r="DF26" s="303" t="str">
        <f t="shared" si="41"/>
        <v>"Marzo: Informe datos abiertos
Junio: Informe datos abiertos
Página: https://datosabiertos.bogota.gov.co/"</v>
      </c>
      <c r="DG26" s="303" t="str">
        <f t="shared" si="41"/>
        <v>Suma</v>
      </c>
      <c r="DH26" s="303">
        <f t="shared" ref="DH26" si="49">+IF(VLOOKUP($A26,consolidado,MATCH(DH$5,consolidadofila,0),0)=0,DU26,VLOOKUP($A26,consolidado,MATCH(DH$5,consolidadofila,0),0))</f>
        <v>16</v>
      </c>
      <c r="DI26" s="303">
        <f t="shared" ref="DI26" si="50">+VLOOKUP($A26,consolidado,MATCH(DO$5,consolidadofila,0),0)</f>
        <v>0</v>
      </c>
      <c r="DJ26" s="303">
        <f t="shared" ref="DJ26" si="51">+VLOOKUP($A26,consolidado,MATCH(DP$5,consolidadofila,0),0)</f>
        <v>0</v>
      </c>
      <c r="DK26" s="303">
        <f t="shared" ref="DK26" si="52">+VLOOKUP($A26,consolidado,MATCH(DQ$5,consolidadofila,0),0)</f>
        <v>8</v>
      </c>
      <c r="DL26" s="303">
        <f t="shared" ref="DL26" si="53">+VLOOKUP($A26,consolidado,MATCH(DR$5,consolidadofila,0),0)</f>
        <v>0</v>
      </c>
      <c r="DM26" s="303">
        <f t="shared" ref="DM26" si="54">+VLOOKUP($A26,consolidado,MATCH(DS$5,consolidadofila,0),0)</f>
        <v>0</v>
      </c>
      <c r="DN26" s="303">
        <f t="shared" ref="DN26" si="55">+VLOOKUP($A26,consolidado,MATCH(DT$5,consolidadofila,0),0)</f>
        <v>8</v>
      </c>
      <c r="DO26" s="303">
        <f t="shared" si="38"/>
        <v>0</v>
      </c>
      <c r="DP26" s="303">
        <f t="shared" si="38"/>
        <v>0</v>
      </c>
      <c r="DQ26" s="303">
        <f t="shared" si="38"/>
        <v>8</v>
      </c>
      <c r="DR26" s="303">
        <f t="shared" si="38"/>
        <v>0</v>
      </c>
      <c r="DS26" s="303">
        <f t="shared" si="38"/>
        <v>0</v>
      </c>
      <c r="DT26" s="303">
        <f t="shared" si="38"/>
        <v>8</v>
      </c>
      <c r="DU26" s="303">
        <f t="shared" si="42"/>
        <v>69</v>
      </c>
      <c r="DV26" s="303" t="str">
        <f t="shared" si="42"/>
        <v/>
      </c>
      <c r="DW26" s="303" t="str">
        <f t="shared" si="42"/>
        <v/>
      </c>
      <c r="DX26" s="303" t="str">
        <f t="shared" si="42"/>
        <v/>
      </c>
      <c r="DY26" s="303" t="str">
        <f t="shared" si="42"/>
        <v/>
      </c>
      <c r="DZ26" s="303" t="str">
        <f t="shared" si="42"/>
        <v/>
      </c>
      <c r="EA26" s="303" t="str">
        <f t="shared" si="42"/>
        <v/>
      </c>
      <c r="EB26" s="303" t="str">
        <f t="shared" si="42"/>
        <v/>
      </c>
      <c r="EC26" s="303" t="str">
        <f t="shared" si="42"/>
        <v/>
      </c>
      <c r="ED26" s="303" t="str">
        <f t="shared" si="42"/>
        <v/>
      </c>
      <c r="EE26" s="303" t="str">
        <f t="shared" si="43"/>
        <v/>
      </c>
      <c r="EF26" s="303">
        <f t="shared" si="43"/>
        <v>1023</v>
      </c>
      <c r="EG26" s="303" t="str">
        <f t="shared" si="43"/>
        <v/>
      </c>
      <c r="EH26" s="303" t="str">
        <f t="shared" si="43"/>
        <v>Al 25 de marzo de 2020 en la plataforma de datos abiertos de Bogotá, se contabilizan 1023 conjuntos de datos publicados provenientes de 55 entidades distritales. La URL de acceso es: https://datosabiertos.bogota.gov.co/</v>
      </c>
      <c r="EI26" s="303" t="str">
        <f t="shared" si="43"/>
        <v>No se presentaron retrasos en el periodo</v>
      </c>
      <c r="EJ26" s="303" t="str">
        <f t="shared" si="43"/>
        <v>Con la divulgación de los conjuntos de datos a la ciudadanía en general, se permite que cualquier persona pueda usarlos con fines investigativos, emprendimiento e innovación, entre otros. De igual forma, permiten ver la gestión y transparencia de las Entidades Distritales.</v>
      </c>
      <c r="EK26" s="303" t="str">
        <f t="shared" si="43"/>
        <v/>
      </c>
      <c r="EL26" s="303" t="str">
        <f t="shared" si="43"/>
        <v/>
      </c>
      <c r="EM26" s="303" t="str">
        <f t="shared" si="43"/>
        <v/>
      </c>
      <c r="EN26" s="303" t="str">
        <f t="shared" si="43"/>
        <v/>
      </c>
      <c r="EO26" s="303" t="str">
        <f t="shared" si="44"/>
        <v/>
      </c>
      <c r="EP26" s="303">
        <f t="shared" si="44"/>
        <v>1206</v>
      </c>
      <c r="EQ26" s="303" t="str">
        <f t="shared" si="44"/>
        <v/>
      </c>
      <c r="ER26" s="303" t="str">
        <f t="shared" si="44"/>
        <v>Al 31 de mayo de 2020 en la plataforma de datos abiertos de Bogotá, se contabilizan 1206 conjuntos de datos publicados provenientes de 55 entidades distritales. La URL de acceso es: https://datosabiertos.bogota.gov.co/</v>
      </c>
      <c r="ES26" s="303" t="str">
        <f t="shared" si="44"/>
        <v>No se presentaron retrasos en el periodo</v>
      </c>
      <c r="ET26" s="303" t="str">
        <f t="shared" si="44"/>
        <v>Con la divulgación de los conjuntos de datos a la ciudadanía en general, se permite que cualquier persona pueda usarlos con fines investigativos, emprendimiento e innovación, entre otros. De igual forma, permiten ver la gestión y transparencia de las Entidades Distritales.</v>
      </c>
      <c r="EU26" s="303" t="str">
        <f t="shared" si="44"/>
        <v/>
      </c>
      <c r="EV26" s="303" t="str">
        <f t="shared" si="44"/>
        <v/>
      </c>
      <c r="EW26" s="303" t="str">
        <f t="shared" si="44"/>
        <v/>
      </c>
      <c r="EX26" s="303" t="str">
        <f t="shared" si="44"/>
        <v/>
      </c>
      <c r="EY26" s="303" t="str">
        <f t="shared" si="44"/>
        <v/>
      </c>
      <c r="EZ26" s="303">
        <f t="shared" si="44"/>
        <v>2229</v>
      </c>
      <c r="FA26" s="303">
        <f t="shared" si="44"/>
        <v>0</v>
      </c>
      <c r="FB26" s="303">
        <f t="shared" si="44"/>
        <v>0</v>
      </c>
      <c r="FC26" s="303">
        <f t="shared" si="44"/>
        <v>0</v>
      </c>
      <c r="FD26" s="303">
        <f t="shared" si="45"/>
        <v>0</v>
      </c>
      <c r="FE26" s="303">
        <f t="shared" si="45"/>
        <v>0</v>
      </c>
      <c r="FF26" s="303">
        <f t="shared" si="45"/>
        <v>0</v>
      </c>
      <c r="FG26" s="303">
        <f t="shared" si="45"/>
        <v>0</v>
      </c>
      <c r="FH26" s="303">
        <f t="shared" si="45"/>
        <v>0</v>
      </c>
      <c r="FI26" s="303">
        <f t="shared" si="45"/>
        <v>0</v>
      </c>
      <c r="FJ26" s="303">
        <f t="shared" si="45"/>
        <v>0</v>
      </c>
      <c r="FK26" s="303">
        <f t="shared" si="45"/>
        <v>0</v>
      </c>
      <c r="FL26" s="303">
        <f t="shared" si="45"/>
        <v>0</v>
      </c>
      <c r="FM26" s="303">
        <f t="shared" si="45"/>
        <v>0</v>
      </c>
      <c r="FN26" s="303">
        <f t="shared" si="46"/>
        <v>0</v>
      </c>
      <c r="FO26" s="303">
        <f t="shared" si="46"/>
        <v>0</v>
      </c>
      <c r="FP26" s="303">
        <f t="shared" si="46"/>
        <v>0</v>
      </c>
      <c r="FQ26" s="303">
        <f t="shared" si="46"/>
        <v>0</v>
      </c>
      <c r="FR26" s="303">
        <f t="shared" si="46"/>
        <v>0</v>
      </c>
      <c r="FS26" s="303">
        <f t="shared" si="46"/>
        <v>0</v>
      </c>
      <c r="FT26" s="303">
        <f t="shared" si="46"/>
        <v>0</v>
      </c>
      <c r="FU26" s="303">
        <f t="shared" si="46"/>
        <v>0</v>
      </c>
      <c r="FV26" s="303">
        <f t="shared" si="46"/>
        <v>0</v>
      </c>
      <c r="FW26" s="303">
        <f t="shared" si="46"/>
        <v>0</v>
      </c>
      <c r="FX26" s="303">
        <f t="shared" si="47"/>
        <v>0</v>
      </c>
      <c r="FY26" s="303">
        <f t="shared" si="47"/>
        <v>0</v>
      </c>
      <c r="FZ26" s="303">
        <f t="shared" si="47"/>
        <v>0</v>
      </c>
      <c r="GA26" s="303">
        <f t="shared" si="47"/>
        <v>0</v>
      </c>
      <c r="GB26" s="303">
        <f t="shared" si="47"/>
        <v>0</v>
      </c>
      <c r="GC26" s="303">
        <f t="shared" si="47"/>
        <v>0</v>
      </c>
      <c r="GD26" s="303">
        <f t="shared" si="47"/>
        <v>0</v>
      </c>
      <c r="GE26" s="303">
        <f t="shared" si="47"/>
        <v>0</v>
      </c>
      <c r="GF26" s="303" t="str">
        <f t="shared" ref="GF26" si="56">+IFERROR(IF(DW26=0,DV26/DO26,DV26/DW26),DV26)</f>
        <v/>
      </c>
      <c r="GG26" s="303" t="str">
        <f t="shared" ref="GG26" si="57">+IFERROR(IF(EB26=0,EA26/DP26,EA26/EB26),EA26)</f>
        <v/>
      </c>
      <c r="GH26" s="303">
        <f t="shared" ref="GH26" si="58">+IFERROR(IF(EG26=0,EF26/DQ26,EF26/EG26),EF26)</f>
        <v>1023</v>
      </c>
      <c r="GI26" s="303" t="str">
        <f t="shared" ref="GI26" si="59">+IFERROR(IF(EL26=0,EK26/DR26,EK26/EL26),EK26)</f>
        <v/>
      </c>
      <c r="GJ26" s="303">
        <f t="shared" ref="GJ26" si="60">+IFERROR(IF(EQ26=0,EP26/DS26,EP26/EQ26),EP26)</f>
        <v>1206</v>
      </c>
      <c r="GK26" s="303">
        <f t="shared" ref="GK26" si="61">+IF(FA26=0,EZ26,EZ26/FA26)</f>
        <v>2229</v>
      </c>
      <c r="GL26" s="303">
        <f t="shared" ref="GL26" si="62">+IF($A26=52,1,IFERROR(IF(OR($DG26="Constante",$DG26="Creciente"),IFERROR(IF(VLOOKUP($A26,bd,MATCH(GL$3,bdfila,0),0)="",0,VLOOKUP($A26,bd,MATCH(GL$3,bdfila,0),0))/(IF(VLOOKUP($A26,bd,MATCH(GL$2,bdfila,0),0)="",0,VLOOKUP($A26,bd,MATCH(GL$2,bdfila,0),0))),IF(VLOOKUP($A26,bd,MATCH(GL$3,bdfila,0),0)="",0,VLOOKUP($A26,bd,MATCH(GL$3,bdfila,0),0))/DI26),IF(VLOOKUP($A26,bd,MATCH(GL$3,bdfila,0),0)="",0,VLOOKUP($A26,bd,MATCH(GL$3,bdfila,0),0))/$DH26/IF($X26="Constante",1,1)),IF(VLOOKUP($A26,bd,MATCH(GL$3,bdfila,0),0)="",0,VLOOKUP($A26,bd,MATCH(GL$3,bdfila,0),0))/$DH26))*100</f>
        <v>0</v>
      </c>
      <c r="GM26" s="303">
        <f t="shared" ref="GM26" si="63">+IF($A26=52,1,IFERROR(IF(OR($DG26="Constante",$DG26="Creciente"),IFERROR(IF(VLOOKUP($A26,bd,MATCH(GM$3,bdfila,0),0)="",0,VLOOKUP($A26,bd,MATCH(GM$3,bdfila,0),0))/(IF(VLOOKUP($A26,bd,MATCH(GM$2,bdfila,0),0)="",0,VLOOKUP($A26,bd,MATCH(GM$2,bdfila,0),0))),IF(VLOOKUP($A26,bd,MATCH(GM$3,bdfila,0),0)="",0,VLOOKUP($A26,bd,MATCH(GM$3,bdfila,0),0))/DJ26),IF(VLOOKUP($A26,bd,MATCH(GM$3,bdfila,0),0)="",0,VLOOKUP($A26,bd,MATCH(GM$3,bdfila,0),0))/$DH26/IF($X26="Constante",1,1)),IF(VLOOKUP($A26,bd,MATCH(GM$3,bdfila,0),0)="",0,VLOOKUP($A26,bd,MATCH(GM$3,bdfila,0),0))/$DH26))*100</f>
        <v>0</v>
      </c>
      <c r="GN26" s="303">
        <f t="shared" ref="GN26" si="64">+IF($A26=52,1,IFERROR(IF(OR($DG26="Constante",$DG26="Creciente"),IFERROR(IF(VLOOKUP($A26,bd,MATCH(GN$3,bdfila,0),0)="",0,VLOOKUP($A26,bd,MATCH(GN$3,bdfila,0),0))/(IF(VLOOKUP($A26,bd,MATCH(GN$2,bdfila,0),0)="",0,VLOOKUP($A26,bd,MATCH(GN$2,bdfila,0),0))),IF(VLOOKUP($A26,bd,MATCH(GN$3,bdfila,0),0)="",0,VLOOKUP($A26,bd,MATCH(GN$3,bdfila,0),0))/DK26),IF(VLOOKUP($A26,bd,MATCH(GN$3,bdfila,0),0)="",0,VLOOKUP($A26,bd,MATCH(GN$3,bdfila,0),0))/$DH26/IF($X26="Constante",1,1)),IF(VLOOKUP($A26,bd,MATCH(GN$3,bdfila,0),0)="",0,VLOOKUP($A26,bd,MATCH(GN$3,bdfila,0),0))/$DH26))*100</f>
        <v>6393.75</v>
      </c>
      <c r="GO26" s="303">
        <f t="shared" ref="GO26" si="65">+IF($A26=52,1,IFERROR(IF(OR($DG26="Constante",$DG26="Creciente"),IFERROR(IF(VLOOKUP($A26,bd,MATCH(GO$3,bdfila,0),0)="",0,VLOOKUP($A26,bd,MATCH(GO$3,bdfila,0),0))/(IF(VLOOKUP($A26,bd,MATCH(GO$2,bdfila,0),0)="",0,VLOOKUP($A26,bd,MATCH(GO$2,bdfila,0),0))),IF(VLOOKUP($A26,bd,MATCH(GO$3,bdfila,0),0)="",0,VLOOKUP($A26,bd,MATCH(GO$3,bdfila,0),0))/DL26),IF(VLOOKUP($A26,bd,MATCH(GO$3,bdfila,0),0)="",0,VLOOKUP($A26,bd,MATCH(GO$3,bdfila,0),0))/$DH26/IF($X26="Constante",1,1)),IF(VLOOKUP($A26,bd,MATCH(GO$3,bdfila,0),0)="",0,VLOOKUP($A26,bd,MATCH(GO$3,bdfila,0),0))/$DH26))*100</f>
        <v>0</v>
      </c>
      <c r="GP26" s="303">
        <f t="shared" ref="GP26:GQ26" si="66">+IF($A26=52,1,IFERROR(IF(OR($DG26="Constante",$DG26="Creciente"),IFERROR(IF(VLOOKUP($A26,bd,MATCH(GP$3,bdfila,0),0)="",0,VLOOKUP($A26,bd,MATCH(GP$3,bdfila,0),0))/(IF(VLOOKUP($A26,bd,MATCH(GP$2,bdfila,0),0)="",0,VLOOKUP($A26,bd,MATCH(GP$2,bdfila,0),0))),IF(VLOOKUP($A26,bd,MATCH(GP$3,bdfila,0),0)="",0,VLOOKUP($A26,bd,MATCH(GP$3,bdfila,0),0))/DM26),IF(VLOOKUP($A26,bd,MATCH(GP$3,bdfila,0),0)="",0,VLOOKUP($A26,bd,MATCH(GP$3,bdfila,0),0))/$DH26/IF($X26="Constante",1,1)),IF(VLOOKUP($A26,bd,MATCH(GP$3,bdfila,0),0)="",0,VLOOKUP($A26,bd,MATCH(GP$3,bdfila,0),0))/$DH26))*100</f>
        <v>7537.5</v>
      </c>
      <c r="GQ26" s="303">
        <f t="shared" si="66"/>
        <v>0</v>
      </c>
      <c r="GR26" s="309">
        <f>+IF(DG26="Suma",SUM(GL26:GQ26),AVERAGE(GL26:GQ26))</f>
        <v>13931.25</v>
      </c>
      <c r="GS26" s="303" t="str">
        <f t="shared" ref="GS26" si="67">+IF(OR($A26=52,$A26=124),1,IFERROR(IF($X26="Creciente",IF($AB26="Número",SUM(GL26)/SUM(DO26)*($AX26-$AW26),SUM(GL26)/SUM(DO26))*($AX26-$AW26),IF(AND($DG26="Constante",$AB26="Porcentaje"),AVERAGEIF(GL26,"&lt;&gt;0")/AVERAGEIF(DO26,"&lt;&gt;0")*100,SUM(GL26)/SUM(DO26)*$DU26)),"No Programó"))</f>
        <v>No Programó</v>
      </c>
      <c r="GT26" s="303" t="str">
        <f>+IF(OR($A26=52,$A26=124),1,IFERROR(IF($X26="Creciente",IF($AB26="Número",SUM($GL26:GM26)/SUM($DO26:DP26)*($AX26-$AW26),SUM($GL26:GM26)/SUM($DO26:DP26))*($AX26-$AW26),IF($DG26="Creciente",GM26*GM26/GM26,IF(AND($DG26="Constante",$AB26="Porcentaje"),AVERAGEIF($GL26:GM26,"&lt;&gt;0")/AVERAGEIF($DO26:DP26,"&lt;&gt;0")*100,SUM($GL26:GM26)/SUM($DO26:DP26)*$DU26))),GS26))</f>
        <v>No Programó</v>
      </c>
      <c r="GU26" s="303">
        <f>+IF(OR($A26=52,$A26=124),1,IFERROR(IF($X26="Creciente",IF($AB26="Número",SUM($GL26:GN26)/SUM($DO26:DQ26)*($AX26-$AW26),SUM($GL26:GN26)/SUM($DO26:DQ26))*($AX26-$AW26),IF($DG26="Creciente",GN26*GN26/GN26,IF(AND($DG26="Constante",$AB26="Porcentaje"),AVERAGEIF($GL26:GN26,"&lt;&gt;0")/AVERAGEIF($DO26:DQ26,"&lt;&gt;0")*100,SUM($GL26:GN26)/SUM($DO26:DQ26)*$DU26))),GT26))</f>
        <v>692731642.96875</v>
      </c>
      <c r="GV26" s="303">
        <f>+IF(OR($A26=52,$A26=124),1,IFERROR(IF($X26="Creciente",IF($AB26="Número",SUM($GL26:GO26)/SUM($DO26:DR26)*($AX26-$AW26),SUM($GL26:GO26)/SUM($DO26:DR26))*($AX26-$AW26),IF($DG26="Creciente",GO26*GO26/GO26,IF(AND($DG26="Constante",$AB26="Porcentaje"),AVERAGEIF($GL26:GO26,"&lt;&gt;0")/AVERAGEIF($DO26:DR26,"&lt;&gt;0")*100,SUM($GL26:GO26)/SUM($DO26:DR26)*$DU26))),GU26))</f>
        <v>692731642.96875</v>
      </c>
      <c r="GW26" s="303">
        <f>+IF(OR($A26=52,$A26=124),1,IFERROR(IF($X26="Creciente",IF($AB26="Número",SUM($GL26:GP26)/SUM($DO26:DS26)*($AX26-$AW26),SUM($GL26:GP26)/SUM($DO26:DS26))*($AX26-$AW26),IF($DG26="Creciente",GP26*GP26/GP26,IF(AND($DG26="Constante",$AB26="Porcentaje"),AVERAGEIF($GL26:GP26,"&lt;&gt;0")/AVERAGEIF($DO26:DS26,"&lt;&gt;0")*100,SUM($GL26:GP26)/SUM($DO26:DS26)*$DU26))),GV26))</f>
        <v>1509383022.65625</v>
      </c>
      <c r="GX26" s="303">
        <f>+IF(OR($A26=52,$A26=124),1,IFERROR(IF($X26="Creciente",IF($AB26="Número",SUM($GL26:GQ26)/SUM($DO26:DT26)*($AX26-$AW26),SUM($GL26:GQ26)/SUM($DO26:DT26))*($AX26-$AW26),IF($DG26="Creciente",GQ26*GQ26/GQ26,IF(AND($DG26="Constante",$AB26="Porcentaje"),AVERAGEIF($GL26:GQ26,"&lt;&gt;0")/AVERAGEIF($DO26:DT26,"&lt;&gt;0")*100,SUM($GL26:GQ26)/SUM($DO26:DT26)*$DU26))),GW26))</f>
        <v>754691511.328125</v>
      </c>
      <c r="GY26" s="303" t="str">
        <f t="shared" ref="GY26" si="68">+DC26</f>
        <v xml:space="preserve">Este indicador se encarga de la medición de la cantidad de datasets publicados en el portal de datos abiertos de Bogotá datosabiertos.bogota.gov.co, esta medición se realiza basados en las ordenanzas que estipula la Ley 1712 del 6 de marzo de 2014 </v>
      </c>
      <c r="GZ26" s="303" t="str">
        <f t="shared" ref="GZ26" si="69">+DD26</f>
        <v>Monitorear y evaluar la estrategia de promocion y desarrollo de servicios tic</v>
      </c>
      <c r="HA26" s="303" t="str">
        <f t="shared" ref="HA26" si="70">+DE26</f>
        <v>Datos Abiertos: Generar emprendimiento, innovación, gobierno abierto y cumplimiento de la política de transparencia por parte de las entidades distritales.</v>
      </c>
      <c r="HB26" s="303" t="str">
        <f t="shared" ref="HB26" si="71">+DF26</f>
        <v>"Marzo: Informe datos abiertos
Junio: Informe datos abiertos
Página: https://datosabiertos.bogota.gov.co/"</v>
      </c>
      <c r="HC26" s="149">
        <f t="shared" ref="HC26:HL35" si="72">+VLOOKUP($A26,consolidado,MATCH(HC$5,consolidadofila,0),0)</f>
        <v>0</v>
      </c>
      <c r="HD26" s="149">
        <f t="shared" si="72"/>
        <v>0</v>
      </c>
      <c r="HE26" s="149">
        <f t="shared" si="72"/>
        <v>0</v>
      </c>
      <c r="HF26" s="149">
        <f t="shared" si="72"/>
        <v>0</v>
      </c>
      <c r="HG26" s="149">
        <f t="shared" si="72"/>
        <v>0</v>
      </c>
      <c r="HH26" s="149">
        <f t="shared" si="72"/>
        <v>0</v>
      </c>
      <c r="HI26" s="149">
        <f t="shared" si="72"/>
        <v>0</v>
      </c>
      <c r="HJ26" s="149">
        <f t="shared" si="72"/>
        <v>0</v>
      </c>
      <c r="HK26" s="149">
        <f t="shared" si="72"/>
        <v>0</v>
      </c>
      <c r="HL26" s="149">
        <f t="shared" si="72"/>
        <v>0</v>
      </c>
      <c r="HM26" s="149">
        <f t="shared" ref="HM26:HX35" si="73">+VLOOKUP($A26,consolidado,MATCH(HM$5,consolidadofila,0),0)</f>
        <v>0</v>
      </c>
      <c r="HN26" s="149">
        <f t="shared" si="73"/>
        <v>0</v>
      </c>
      <c r="HO26" s="149">
        <f t="shared" si="73"/>
        <v>0</v>
      </c>
      <c r="HP26" s="149">
        <f t="shared" si="73"/>
        <v>0</v>
      </c>
      <c r="HQ26" s="149">
        <f t="shared" si="73"/>
        <v>0</v>
      </c>
      <c r="HR26" s="149">
        <f t="shared" si="73"/>
        <v>0</v>
      </c>
      <c r="HS26" s="149">
        <f t="shared" si="73"/>
        <v>0</v>
      </c>
      <c r="HT26" s="149">
        <f t="shared" si="73"/>
        <v>0</v>
      </c>
      <c r="HU26" s="149">
        <f t="shared" si="73"/>
        <v>0</v>
      </c>
      <c r="HV26" s="149">
        <f t="shared" si="73"/>
        <v>0</v>
      </c>
      <c r="HW26" s="149">
        <f t="shared" si="73"/>
        <v>0</v>
      </c>
      <c r="HX26" s="149">
        <f t="shared" si="73"/>
        <v>0</v>
      </c>
      <c r="HY26" s="303"/>
      <c r="HZ26" s="303"/>
      <c r="IA26" s="303"/>
      <c r="IB26" s="303"/>
      <c r="IC26" s="303"/>
      <c r="ID26" s="303"/>
      <c r="IE26" s="303"/>
      <c r="IF26" s="303"/>
      <c r="IG26" s="303"/>
    </row>
    <row r="27" spans="1:241" s="149" customFormat="1" x14ac:dyDescent="0.3">
      <c r="A27" s="145" t="s">
        <v>351</v>
      </c>
      <c r="B27" s="146" t="s">
        <v>1144</v>
      </c>
      <c r="C27" s="146" t="s">
        <v>1144</v>
      </c>
      <c r="D27" s="146" t="s">
        <v>1144</v>
      </c>
      <c r="E27" s="146" t="s">
        <v>1144</v>
      </c>
      <c r="F27" s="136" t="s">
        <v>1360</v>
      </c>
      <c r="G27" s="146" t="s">
        <v>1144</v>
      </c>
      <c r="H27" s="146" t="s">
        <v>1144</v>
      </c>
      <c r="I27" s="149" t="s">
        <v>1146</v>
      </c>
      <c r="J27" s="154" t="s">
        <v>146</v>
      </c>
      <c r="K27" s="154" t="s">
        <v>147</v>
      </c>
      <c r="L27" s="154" t="s">
        <v>1361</v>
      </c>
      <c r="M27" s="154" t="s">
        <v>1147</v>
      </c>
      <c r="N27" s="154" t="s">
        <v>1305</v>
      </c>
      <c r="O27" s="154" t="s">
        <v>1362</v>
      </c>
      <c r="P27" s="148" t="s">
        <v>1360</v>
      </c>
      <c r="Q27" s="154" t="s">
        <v>1363</v>
      </c>
      <c r="R27" s="154" t="s">
        <v>1364</v>
      </c>
      <c r="S27" s="154" t="s">
        <v>1365</v>
      </c>
      <c r="T27" s="154" t="s">
        <v>1366</v>
      </c>
      <c r="U27" s="154" t="s">
        <v>1367</v>
      </c>
      <c r="V27" s="154" t="s">
        <v>1368</v>
      </c>
      <c r="W27" s="148" t="s">
        <v>601</v>
      </c>
      <c r="X27" s="154" t="s">
        <v>601</v>
      </c>
      <c r="Y27" s="166"/>
      <c r="Z27" s="154" t="s">
        <v>1369</v>
      </c>
      <c r="AA27" s="154" t="s">
        <v>1370</v>
      </c>
      <c r="AB27" s="154" t="s">
        <v>602</v>
      </c>
      <c r="AC27" s="154" t="s">
        <v>1293</v>
      </c>
      <c r="AD27" s="154" t="s">
        <v>1031</v>
      </c>
      <c r="AE27" s="154">
        <v>2018</v>
      </c>
      <c r="AF27" s="154">
        <v>1</v>
      </c>
      <c r="AG27" s="154">
        <v>2017</v>
      </c>
      <c r="AH27" s="154">
        <v>0</v>
      </c>
      <c r="AI27" s="154">
        <v>0</v>
      </c>
      <c r="AJ27" s="154">
        <v>1</v>
      </c>
      <c r="AK27" s="154">
        <v>1</v>
      </c>
      <c r="AL27" s="218">
        <v>1</v>
      </c>
      <c r="AM27" s="154">
        <v>1</v>
      </c>
      <c r="AN27" s="146" t="s">
        <v>1144</v>
      </c>
      <c r="AO27" s="146" t="s">
        <v>1144</v>
      </c>
      <c r="AP27" s="146" t="s">
        <v>1144</v>
      </c>
      <c r="AQ27" s="146" t="s">
        <v>1144</v>
      </c>
      <c r="AR27" s="146" t="s">
        <v>1144</v>
      </c>
      <c r="AS27" s="150" t="s">
        <v>1144</v>
      </c>
      <c r="AT27" s="232">
        <v>0</v>
      </c>
      <c r="AU27" s="232">
        <v>0</v>
      </c>
      <c r="AV27" s="232">
        <v>100</v>
      </c>
      <c r="AW27" s="232">
        <v>100</v>
      </c>
      <c r="AX27" s="232">
        <v>100</v>
      </c>
      <c r="AY27" s="232">
        <v>100</v>
      </c>
      <c r="BD27" s="149">
        <v>0</v>
      </c>
      <c r="BJ27" s="149">
        <v>0</v>
      </c>
      <c r="BK27" s="146" t="s">
        <v>1144</v>
      </c>
      <c r="BL27" s="146" t="s">
        <v>1144</v>
      </c>
      <c r="BM27" s="146" t="s">
        <v>1144</v>
      </c>
      <c r="BN27" s="146" t="s">
        <v>1144</v>
      </c>
      <c r="BO27" s="146" t="s">
        <v>1144</v>
      </c>
      <c r="BP27" s="146" t="s">
        <v>1144</v>
      </c>
      <c r="BQ27" s="146" t="s">
        <v>1144</v>
      </c>
      <c r="BR27" s="146" t="s">
        <v>1144</v>
      </c>
      <c r="BS27" s="146" t="s">
        <v>1144</v>
      </c>
      <c r="BT27" s="146" t="s">
        <v>1144</v>
      </c>
      <c r="BU27" s="146" t="s">
        <v>1144</v>
      </c>
      <c r="BV27" s="146" t="s">
        <v>1144</v>
      </c>
      <c r="BW27" s="154" t="s">
        <v>1144</v>
      </c>
      <c r="BX27" s="154" t="s">
        <v>1144</v>
      </c>
      <c r="BY27" s="154" t="s">
        <v>1144</v>
      </c>
      <c r="BZ27" s="154">
        <v>1</v>
      </c>
      <c r="CA27" s="154" t="s">
        <v>1144</v>
      </c>
      <c r="CB27" s="154" t="s">
        <v>1144</v>
      </c>
      <c r="CC27" s="154" t="s">
        <v>1144</v>
      </c>
      <c r="CD27" s="219">
        <v>1</v>
      </c>
      <c r="CE27" s="219" t="s">
        <v>251</v>
      </c>
      <c r="CF27" s="154" t="s">
        <v>1144</v>
      </c>
      <c r="CG27" s="154" t="s">
        <v>1144</v>
      </c>
      <c r="CH27" s="154" t="s">
        <v>1144</v>
      </c>
      <c r="CI27" s="154" t="s">
        <v>1144</v>
      </c>
      <c r="CJ27" s="154" t="s">
        <v>1144</v>
      </c>
      <c r="CK27" s="154" t="s">
        <v>1144</v>
      </c>
      <c r="CL27" s="154" t="s">
        <v>1144</v>
      </c>
      <c r="CM27" s="154" t="s">
        <v>1144</v>
      </c>
      <c r="CN27" s="154" t="s">
        <v>1144</v>
      </c>
      <c r="CO27" s="154" t="s">
        <v>1144</v>
      </c>
      <c r="CP27" s="154" t="s">
        <v>1144</v>
      </c>
      <c r="CQ27" s="154" t="s">
        <v>1144</v>
      </c>
      <c r="CR27" s="154" t="s">
        <v>1144</v>
      </c>
      <c r="CS27" s="154" t="s">
        <v>1144</v>
      </c>
      <c r="CT27" s="154" t="s">
        <v>1144</v>
      </c>
      <c r="CU27" s="154" t="s">
        <v>1144</v>
      </c>
      <c r="CV27" s="154" t="s">
        <v>1144</v>
      </c>
      <c r="CW27" s="154" t="s">
        <v>1371</v>
      </c>
      <c r="CX27" s="154" t="s">
        <v>1144</v>
      </c>
      <c r="CY27" s="154" t="s">
        <v>1144</v>
      </c>
      <c r="CZ27" s="154" t="s">
        <v>1144</v>
      </c>
      <c r="DA27" s="154" t="s">
        <v>1144</v>
      </c>
      <c r="DB27" s="152" t="str">
        <f t="shared" si="32"/>
        <v xml:space="preserve">Plan de Acción, SGC, PROCESO: Asistencia, atención y reparación integral a víctimas del conflicto armado e implementación de acciones de memoria, paz y reconciliación en Bogotá, 01_CONPES 1.1.21., </v>
      </c>
      <c r="DC27" s="149" t="str">
        <f t="shared" si="41"/>
        <v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v>
      </c>
      <c r="DD27" s="149" t="str">
        <f t="shared" si="41"/>
        <v>Corresponde a las garantias que debe proveer la ACDVPR para que los integrantes de las mesas de participación local, asistana a las sesiones.</v>
      </c>
      <c r="DE27" s="149" t="str">
        <f t="shared" si="41"/>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
      <c r="DF27" s="149" t="str">
        <f t="shared" si="41"/>
        <v>Base de datos donde se consta el tiempo de asistencia
certificado de pago expedido por la ACDVPR firmado por el Alto Consejero</v>
      </c>
      <c r="DG27" s="149" t="str">
        <f t="shared" si="41"/>
        <v>Constante</v>
      </c>
      <c r="DH27" s="149" t="str">
        <f t="shared" si="2"/>
        <v/>
      </c>
      <c r="DI27" s="149">
        <f t="shared" si="3"/>
        <v>100</v>
      </c>
      <c r="DJ27" s="149">
        <f t="shared" si="4"/>
        <v>100</v>
      </c>
      <c r="DK27" s="149">
        <f t="shared" si="5"/>
        <v>100</v>
      </c>
      <c r="DL27" s="149">
        <f t="shared" si="6"/>
        <v>100</v>
      </c>
      <c r="DM27" s="149">
        <f t="shared" si="7"/>
        <v>100</v>
      </c>
      <c r="DN27" s="149">
        <f t="shared" si="36"/>
        <v>0</v>
      </c>
      <c r="DO27" s="149">
        <f t="shared" ref="DO27:DT36" si="74">+IF(AND($X27="Constante",$DG27="Constante"),$DU27,IF(AND($AB27="Porcentaje",$X27="Creciente",$DG27="Suma",$AW27&lt;&gt;"No Disponible / No Aplica",IFERROR($AX27-$AW27,0)&gt;0),VLOOKUP($A27,consolidado,MATCH(DO$5,consolidadofila,0),0)/$DH27*$AX27*($AX27-$AW27)/$AX27,IF(AND($AB27="Porcentaje",$X27="Creciente",,$AW27&lt;&gt;"No Disponible / No Aplica",IFERROR($AX27-$AW27,0)&gt;0,OR($DG27="Constante",$DG27="Creciente")),VLOOKUP($A27,consolidado,MATCH(DO$5,consolidadofila,0),0)*($AX27-$AW27)/$AX27,IF(AND($AB27="Número",$X27="Creciente"),VLOOKUP($A27,consolidado,MATCH(DO$5,consolidadofila,0),0),IF(AND($AB27="Porcentaje",$DG27="Suma"),VLOOKUP($A27,consolidado,MATCH(DO$5,consolidadofila,0),0)/$DH27*$AX27,IF(AND($AB27="Porcentaje",OR($DG27="Constante",$DG27="Creciente")),VLOOKUP($A27,consolidado,MATCH(DO$5,consolidadofila,0),0),IF($AB27="Número",VLOOKUP($A27,consolidado,MATCH(DO$5,consolidadofila,0),0))))))))</f>
        <v>100</v>
      </c>
      <c r="DP27" s="149">
        <f t="shared" si="74"/>
        <v>100</v>
      </c>
      <c r="DQ27" s="149">
        <f t="shared" si="74"/>
        <v>100</v>
      </c>
      <c r="DR27" s="149">
        <f t="shared" si="74"/>
        <v>100</v>
      </c>
      <c r="DS27" s="149">
        <f t="shared" si="74"/>
        <v>100</v>
      </c>
      <c r="DT27" s="149">
        <f>IF(OR(A27="174A",A27="174B",A27="174C",A27="174D",A27="174E"),0,IF(AND($X27="Constante",$DG27="Constante"),$DU27,IF(AND($AB27="Porcentaje",$X27="Creciente",$DG27="Suma",$AW27&lt;&gt;"No Disponible / No Aplica",IFERROR($AX27-$AW27,0)&gt;0),VLOOKUP($A27,consolidado,MATCH(DT$5,consolidadofila,0),0)/$DH27*$AX27*($AX27-$AW27)/$AX27,IF(AND($AB27="Porcentaje",$X27="Creciente",,$AW27&lt;&gt;"No Disponible / No Aplica",IFERROR($AX27-$AW27,0)&gt;0,OR($DG27="Constante",$DG27="Creciente")),VLOOKUP($A27,consolidado,MATCH(DT$5,consolidadofila,0),0)*($AX27-$AW27)/$AX27,IF(AND($AB27="Número",$X27="Creciente"),VLOOKUP($A27,consolidado,MATCH(DT$5,consolidadofila,0),0),IF(AND($AB27="Porcentaje",$DG27="Suma"),VLOOKUP($A27,consolidado,MATCH(DT$5,consolidadofila,0),0)/$DH27*$AX27,IF(AND($AB27="Porcentaje",OR($DG27="Constante",$DG27="Creciente")),VLOOKUP($A27,consolidado,MATCH(DT$5,consolidadofila,0),0),IF($AB27="Número",VLOOKUP($A27,consolidado,MATCH(DT$5,consolidadofila,0),0)))))))))</f>
        <v>0</v>
      </c>
      <c r="DU27" s="149">
        <f t="shared" si="42"/>
        <v>100</v>
      </c>
      <c r="DV27" s="149">
        <f t="shared" si="42"/>
        <v>36</v>
      </c>
      <c r="DW27" s="149">
        <f t="shared" si="42"/>
        <v>36</v>
      </c>
      <c r="DX27" s="149" t="str">
        <f t="shared" si="42"/>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enero de 2020 con el fin de cumplir con el pago de garantías, se expidió Certificación de pago reconociendo 25 apoyos de transporte y 11 apoyos compensatorios con lo cual se dio pago a 36 garantías de participación correspondientes al mes de diciembre de 2019.</v>
      </c>
      <c r="DY27" s="149" t="str">
        <f t="shared" si="42"/>
        <v>No se presentó ningún retraso</v>
      </c>
      <c r="DZ27" s="149" t="str">
        <f t="shared" si="42"/>
        <v>Participación de Delegados y delegadas titulares de 8 Mesas Locales, de la Mesa Distrital, de la Mesas de Enfoque Diferencial afro e Indígena,  Representantes escogidos por las mesas al CDJT y una sesión del comité ejecutivo de la mesa distrital recibieron garantías a la participación atendiendo a su asistencia a los distintos espacios.</v>
      </c>
      <c r="EA27" s="149">
        <f t="shared" si="42"/>
        <v>251</v>
      </c>
      <c r="EB27" s="149">
        <f t="shared" si="42"/>
        <v>251</v>
      </c>
      <c r="EC27" s="149" t="str">
        <f t="shared" si="42"/>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asi que durante el mes de febrero se realizó el pago de un total de 251 garantías a la participación correspondientes al mes de enero. Los pagos están distribuidos en 110 apoyos compensatorios , 117 apoyos de transporte a los delegados y delegadas de los espacios de participación, correspondiente a asistencia a las sesiones del mes de enero, 11 Apoyos compensatorios y 13 apoyos de transporte a delegados que se bancanrizaron durante el mes de enero, con pagos pendientes por asistencia a sesiones de los meses de octubre, noviembre y diciembre de 2019.</v>
      </c>
      <c r="ED27" s="149" t="str">
        <f t="shared" si="42"/>
        <v>No se presentó ningún retraso</v>
      </c>
      <c r="EE27" s="149" t="str">
        <f t="shared" si="43"/>
        <v>Se logra la participación activa de las victimas en la generación de politica de victimas, asi como el seguimiento a la misma.</v>
      </c>
      <c r="EF27" s="149">
        <f t="shared" si="43"/>
        <v>563</v>
      </c>
      <c r="EG27" s="149">
        <f t="shared" si="43"/>
        <v>563</v>
      </c>
      <c r="EH27" s="149" t="str">
        <f t="shared" si="43"/>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así que durante el mes de marzo, se realizó el pago de 563 apoyos de garantías a la participación, distribuidos en 273 pagos de apoyo compensatorio y 290 pagos de apoyo de transporte.</v>
      </c>
      <c r="EI27" s="149" t="str">
        <f t="shared" si="43"/>
        <v>No se presentan retratos pero si dificultades dado que a la fecha hay miembros de Mesas sin bancarizar, por lo cual no se realiza el pago de 32 garantías.</v>
      </c>
      <c r="EJ27" s="149" t="str">
        <f t="shared" si="43"/>
        <v>Se beneficia a Miembros de los 24 espacios de participación contemplados en el Decreto 512 de 2019</v>
      </c>
      <c r="EK27" s="149">
        <f t="shared" si="43"/>
        <v>541</v>
      </c>
      <c r="EL27" s="149">
        <f t="shared" si="43"/>
        <v>541</v>
      </c>
      <c r="EM27" s="149" t="str">
        <f t="shared" si="43"/>
        <v>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Es así que durante el mes de abril, se realizó el pago de 541 apoyos de garantías a la participación, distribuidos en 259 pagos de apoyo compensatorio y 282 pagos de apoyo de transporte.</v>
      </c>
      <c r="EN27" s="149" t="str">
        <f t="shared" si="43"/>
        <v>No se presentan retratos pero si dificultades dado que a la fecha hay miembros de Mesas sin bancarizar, por lo cual no se realiza el pago de 19 garantías.</v>
      </c>
      <c r="EO27" s="149" t="str">
        <f t="shared" si="44"/>
        <v>En el mes de abril se benefició a Representantes de 15 Mesas Locales, 1 Mesa Distrital y las 3 de Enfoque Diferencial, adicionalmente al comité Ejecutivo de Mesa Distrital y a los participantes del espacio ampliado.</v>
      </c>
      <c r="EP27" s="149">
        <f t="shared" si="44"/>
        <v>0</v>
      </c>
      <c r="EQ27" s="149">
        <f t="shared" si="44"/>
        <v>0</v>
      </c>
      <c r="ER27" s="149" t="str">
        <f t="shared" si="44"/>
        <v>No fueron reconocidas garantias.</v>
      </c>
      <c r="ES27" s="149" t="str">
        <f t="shared" si="44"/>
        <v>Se presentó dificultad en la efectividad de pagos de apoyos compensatorios, todavez, que la normatividad emitida por la Entidad, no contempló las sesiones virtuales respecto de los requisitos de pago, se emitió una Resolución que contempla una forma alternativa de dar cumplimiento a los mismos, motivo por el cual se realizará el pago en el mes de junio.</v>
      </c>
      <c r="ET27" s="149" t="str">
        <f t="shared" si="44"/>
        <v>Se logra la participación activa de las victimas en la generación de politica de victimas, asi como el seguimiento a la misma.</v>
      </c>
      <c r="EU27" s="149" t="str">
        <f t="shared" si="44"/>
        <v/>
      </c>
      <c r="EV27" s="149" t="str">
        <f t="shared" si="44"/>
        <v/>
      </c>
      <c r="EW27" s="149" t="str">
        <f t="shared" si="44"/>
        <v/>
      </c>
      <c r="EX27" s="149" t="str">
        <f t="shared" si="44"/>
        <v/>
      </c>
      <c r="EY27" s="149" t="str">
        <f t="shared" si="44"/>
        <v/>
      </c>
      <c r="EZ27" s="149">
        <f t="shared" si="44"/>
        <v>1391</v>
      </c>
      <c r="FA27" s="149">
        <f t="shared" si="44"/>
        <v>1391</v>
      </c>
      <c r="FB27" s="149" t="str">
        <f t="shared" si="44"/>
        <v/>
      </c>
      <c r="FC27" s="149" t="str">
        <f t="shared" si="44"/>
        <v/>
      </c>
      <c r="FD27" s="149" t="str">
        <f t="shared" si="45"/>
        <v/>
      </c>
      <c r="FE27" s="149" t="str">
        <f t="shared" si="45"/>
        <v/>
      </c>
      <c r="FF27" s="149" t="str">
        <f t="shared" si="45"/>
        <v/>
      </c>
      <c r="FG27" s="149" t="str">
        <f t="shared" si="45"/>
        <v/>
      </c>
      <c r="FH27" s="149" t="str">
        <f t="shared" si="45"/>
        <v/>
      </c>
      <c r="FI27" s="149" t="str">
        <f t="shared" si="45"/>
        <v/>
      </c>
      <c r="FJ27" s="149" t="str">
        <f t="shared" si="45"/>
        <v/>
      </c>
      <c r="FK27" s="149" t="str">
        <f t="shared" si="45"/>
        <v/>
      </c>
      <c r="FL27" s="149" t="str">
        <f t="shared" si="45"/>
        <v/>
      </c>
      <c r="FM27" s="149" t="str">
        <f t="shared" si="45"/>
        <v/>
      </c>
      <c r="FN27" s="149" t="str">
        <f t="shared" si="46"/>
        <v/>
      </c>
      <c r="FO27" s="149" t="str">
        <f t="shared" si="46"/>
        <v/>
      </c>
      <c r="FP27" s="149" t="str">
        <f t="shared" si="46"/>
        <v/>
      </c>
      <c r="FQ27" s="149" t="str">
        <f t="shared" si="46"/>
        <v/>
      </c>
      <c r="FR27" s="149" t="str">
        <f t="shared" si="46"/>
        <v/>
      </c>
      <c r="FS27" s="149" t="str">
        <f t="shared" si="46"/>
        <v/>
      </c>
      <c r="FT27" s="149" t="str">
        <f t="shared" si="46"/>
        <v/>
      </c>
      <c r="FU27" s="149" t="str">
        <f t="shared" si="46"/>
        <v/>
      </c>
      <c r="FV27" s="149" t="str">
        <f t="shared" si="46"/>
        <v/>
      </c>
      <c r="FW27" s="149" t="str">
        <f t="shared" si="46"/>
        <v/>
      </c>
      <c r="FX27" s="149" t="str">
        <f t="shared" si="47"/>
        <v/>
      </c>
      <c r="FY27" s="149" t="str">
        <f t="shared" si="47"/>
        <v/>
      </c>
      <c r="FZ27" s="149" t="str">
        <f t="shared" si="47"/>
        <v/>
      </c>
      <c r="GA27" s="149" t="str">
        <f t="shared" si="47"/>
        <v/>
      </c>
      <c r="GB27" s="149" t="str">
        <f t="shared" si="47"/>
        <v/>
      </c>
      <c r="GC27" s="149" t="str">
        <f t="shared" si="47"/>
        <v/>
      </c>
      <c r="GD27" s="149" t="str">
        <f t="shared" si="47"/>
        <v/>
      </c>
      <c r="GE27" s="149" t="str">
        <f t="shared" si="47"/>
        <v/>
      </c>
      <c r="GF27" s="149">
        <f t="shared" si="33"/>
        <v>1</v>
      </c>
      <c r="GG27" s="149">
        <f t="shared" si="22"/>
        <v>1</v>
      </c>
      <c r="GH27" s="149">
        <f t="shared" si="23"/>
        <v>1</v>
      </c>
      <c r="GI27" s="149">
        <f t="shared" si="24"/>
        <v>1</v>
      </c>
      <c r="GJ27" s="149">
        <f t="shared" si="25"/>
        <v>0</v>
      </c>
      <c r="GK27" s="149">
        <f t="shared" si="34"/>
        <v>1</v>
      </c>
      <c r="GL27" s="149">
        <f t="shared" si="15"/>
        <v>100</v>
      </c>
      <c r="GM27" s="149">
        <f t="shared" si="16"/>
        <v>100</v>
      </c>
      <c r="GN27" s="149">
        <f t="shared" si="17"/>
        <v>100</v>
      </c>
      <c r="GO27" s="149">
        <f t="shared" si="18"/>
        <v>100</v>
      </c>
      <c r="GP27" s="149">
        <f t="shared" si="19"/>
        <v>0</v>
      </c>
      <c r="GQ27" s="149" t="e">
        <f t="shared" si="19"/>
        <v>#VALUE!</v>
      </c>
      <c r="GR27" s="153">
        <f>+IF(DG27="Suma",SUM(GL27:GP27),AVERAGEIF(GL27:GP27,"&lt;&gt;0"))</f>
        <v>100</v>
      </c>
      <c r="GS27" s="149">
        <f t="shared" si="37"/>
        <v>100</v>
      </c>
      <c r="GT27" s="149">
        <f>+IF(OR($A27=52,$A27=124),1,IFERROR(IF($X27="Creciente",IF($AB27="Número",SUM($GL27:GM27)/SUM($DO27:DP27)*($AX27-$AW27),SUM($GL27:GM27)/SUM($DO27:DP27))*($AX27-$AW27),IF($DG27="Creciente",GM27*GM27/GM27,IF(AND($DG27="Constante",$AB27="Porcentaje"),AVERAGEIF($GL27:GM27,"&lt;&gt;0")/AVERAGEIF($DO27:DP27,"&lt;&gt;0")*100,SUM($GL27:GM27)/SUM($DO27:DP27)*$DU27))),GS27))</f>
        <v>100</v>
      </c>
      <c r="GU27" s="149">
        <f>+IF(OR($A27=52,$A27=124),1,IFERROR(IF($X27="Creciente",IF($AB27="Número",SUM($GL27:GN27)/SUM($DO27:DQ27)*($AX27-$AW27),SUM($GL27:GN27)/SUM($DO27:DQ27))*($AX27-$AW27),IF($DG27="Creciente",GN27*GN27/GN27,IF(AND($DG27="Constante",$AB27="Porcentaje"),AVERAGEIF($GL27:GN27,"&lt;&gt;0")/AVERAGEIF($DO27:DQ27,"&lt;&gt;0")*100,SUM($GL27:GN27)/SUM($DO27:DQ27)*$DU27))),GT27))</f>
        <v>100</v>
      </c>
      <c r="GV27" s="149">
        <f>+IF(OR($A27=52,$A27=124),1,IFERROR(IF($X27="Creciente",IF($AB27="Número",SUM($GL27:GO27)/SUM($DO27:DR27)*($AX27-$AW27),SUM($GL27:GO27)/SUM($DO27:DR27))*($AX27-$AW27),IF($DG27="Creciente",GO27*GO27/GO27,IF(AND($DG27="Constante",$AB27="Porcentaje"),AVERAGEIF($GL27:GO27,"&lt;&gt;0")/AVERAGEIF($DO27:DR27,"&lt;&gt;0")*100,SUM($GL27:GO27)/SUM($DO27:DR27)*$DU27))),GU27))</f>
        <v>100</v>
      </c>
      <c r="GW27" s="149">
        <f>+IF(OR($A27=52,$A27=124),1,IFERROR(IF($X27="Creciente",IF($AB27="Número",SUM($GL27:GP27)/SUM($DO27:DS27)*($AX27-$AW27),SUM($GL27:GP27)/SUM($DO27:DS27))*($AX27-$AW27),IF($DG27="Creciente",GP27*GP27/GP27,IF(AND($DG27="Constante",$AB27="Porcentaje"),AVERAGEIF($GL27:GP27,"&lt;&gt;0")/AVERAGEIF($DO27:DS27,"&lt;&gt;0")*100,SUM($GL27:GP27)/SUM($DO27:DS27)*$DU27))),GV27))</f>
        <v>100</v>
      </c>
      <c r="GX27" s="149">
        <f>+IF(OR($A27=52,$A27=124),1,IFERROR(IF($X27="Creciente",IF($AB27="Número",SUM($GL27:GQ27)/SUM($DO27:DT27)*($AX27-$AW27),SUM($GL27:GQ27)/SUM($DO27:DT27))*($AX27-$AW27),IF($DG27="Creciente",GQ27*GQ27/GQ27,IF(AND($DG27="Constante",$AB27="Porcentaje"),AVERAGEIF($GL27:GQ27,"&lt;&gt;0")/AVERAGEIF($DO27:DT27,"&lt;&gt;0")*100,SUM($GL27:GQ27)/SUM($DO27:DT27)*$DU27))),GW27))</f>
        <v>100</v>
      </c>
      <c r="GY27" s="149" t="str">
        <f t="shared" si="28"/>
        <v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v>
      </c>
      <c r="GZ27" s="149" t="str">
        <f t="shared" si="29"/>
        <v>Corresponde a las garantias que debe proveer la ACDVPR para que los integrantes de las mesas de participación local, asistana a las sesiones.</v>
      </c>
      <c r="HA27" s="149" t="str">
        <f t="shared" si="30"/>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
      <c r="HB27" s="149" t="str">
        <f t="shared" si="31"/>
        <v>Base de datos donde se consta el tiempo de asistencia
certificado de pago expedido por la ACDVPR firmado por el Alto Consejero</v>
      </c>
      <c r="HC27" s="149" t="str">
        <f t="shared" si="72"/>
        <v>Cumple</v>
      </c>
      <c r="HD27" s="149" t="str">
        <f t="shared" si="72"/>
        <v>Cumplido</v>
      </c>
      <c r="HE27" s="149" t="str">
        <f t="shared" si="72"/>
        <v>Adecuado</v>
      </c>
      <c r="HF27" s="149" t="str">
        <f t="shared" si="72"/>
        <v>Coherente</v>
      </c>
      <c r="HG27" s="149" t="str">
        <f t="shared" si="72"/>
        <v>Concuerda</v>
      </c>
      <c r="HH27" s="149" t="str">
        <f t="shared" si="72"/>
        <v>Concuerda</v>
      </c>
      <c r="HI27" s="149">
        <f t="shared" si="72"/>
        <v>0</v>
      </c>
      <c r="HJ27" s="149" t="str">
        <f t="shared" si="72"/>
        <v>Adecuado</v>
      </c>
      <c r="HK27" s="149" t="str">
        <f t="shared" si="72"/>
        <v>Oportuna</v>
      </c>
      <c r="HL27" s="149" t="str">
        <f t="shared" si="72"/>
        <v>Ninguna</v>
      </c>
      <c r="HM27" s="149" t="str">
        <f t="shared" si="73"/>
        <v>Marcela Andrea García Guerrero</v>
      </c>
      <c r="HN27" s="149" t="str">
        <f t="shared" si="73"/>
        <v>No aplica</v>
      </c>
      <c r="HO27" s="149" t="str">
        <f t="shared" si="73"/>
        <v>No aplica</v>
      </c>
      <c r="HP27" s="149" t="str">
        <f t="shared" si="73"/>
        <v>No aplica</v>
      </c>
      <c r="HQ27" s="149" t="str">
        <f t="shared" si="73"/>
        <v>No aplica</v>
      </c>
      <c r="HR27" s="149" t="str">
        <f t="shared" si="73"/>
        <v>No aplica</v>
      </c>
      <c r="HS27" s="149" t="str">
        <f t="shared" si="73"/>
        <v>No aplica</v>
      </c>
      <c r="HT27" s="149">
        <f t="shared" si="73"/>
        <v>0</v>
      </c>
      <c r="HU27" s="149" t="str">
        <f t="shared" si="73"/>
        <v>No aplica</v>
      </c>
      <c r="HV27" s="149" t="str">
        <f t="shared" si="73"/>
        <v>No aplica</v>
      </c>
      <c r="HW27" s="149" t="str">
        <f t="shared" si="73"/>
        <v>No aplica</v>
      </c>
      <c r="HX27" s="149">
        <f t="shared" si="73"/>
        <v>0</v>
      </c>
    </row>
    <row r="28" spans="1:241" s="149" customFormat="1" x14ac:dyDescent="0.3">
      <c r="A28" s="145" t="s">
        <v>354</v>
      </c>
      <c r="B28" s="146" t="s">
        <v>1144</v>
      </c>
      <c r="C28" s="146" t="s">
        <v>1144</v>
      </c>
      <c r="D28" s="146" t="s">
        <v>1144</v>
      </c>
      <c r="E28" s="146" t="s">
        <v>1144</v>
      </c>
      <c r="F28" s="136" t="s">
        <v>1372</v>
      </c>
      <c r="G28" s="146" t="s">
        <v>1144</v>
      </c>
      <c r="H28" s="146" t="s">
        <v>1144</v>
      </c>
      <c r="I28" s="149" t="s">
        <v>1146</v>
      </c>
      <c r="J28" s="154" t="s">
        <v>146</v>
      </c>
      <c r="K28" s="154" t="s">
        <v>147</v>
      </c>
      <c r="L28" s="154" t="s">
        <v>1361</v>
      </c>
      <c r="M28" s="154" t="s">
        <v>1147</v>
      </c>
      <c r="N28" s="154" t="s">
        <v>1305</v>
      </c>
      <c r="O28" s="154" t="s">
        <v>1362</v>
      </c>
      <c r="P28" s="148" t="s">
        <v>1372</v>
      </c>
      <c r="Q28" s="154" t="s">
        <v>1373</v>
      </c>
      <c r="R28" s="154" t="s">
        <v>1374</v>
      </c>
      <c r="S28" s="154" t="s">
        <v>1375</v>
      </c>
      <c r="T28" s="154" t="s">
        <v>1376</v>
      </c>
      <c r="U28" s="154" t="s">
        <v>1377</v>
      </c>
      <c r="V28" s="154" t="s">
        <v>1378</v>
      </c>
      <c r="W28" s="148" t="s">
        <v>661</v>
      </c>
      <c r="X28" s="154" t="s">
        <v>661</v>
      </c>
      <c r="Y28" s="166"/>
      <c r="Z28" s="154" t="s">
        <v>1379</v>
      </c>
      <c r="AA28" s="154" t="s">
        <v>1380</v>
      </c>
      <c r="AB28" s="154" t="s">
        <v>602</v>
      </c>
      <c r="AC28" s="154" t="s">
        <v>1293</v>
      </c>
      <c r="AD28" s="154" t="s">
        <v>1031</v>
      </c>
      <c r="AE28" s="154">
        <v>2018</v>
      </c>
      <c r="AF28" s="154">
        <v>0.33</v>
      </c>
      <c r="AG28" s="154">
        <v>2017</v>
      </c>
      <c r="AH28" s="154" t="s">
        <v>1161</v>
      </c>
      <c r="AI28" s="154" t="s">
        <v>1161</v>
      </c>
      <c r="AJ28" s="154">
        <v>0.66</v>
      </c>
      <c r="AK28" s="154">
        <v>1</v>
      </c>
      <c r="AL28" s="218">
        <v>1</v>
      </c>
      <c r="AM28" s="154">
        <v>1</v>
      </c>
      <c r="AN28" s="146" t="s">
        <v>1144</v>
      </c>
      <c r="AO28" s="146" t="s">
        <v>1144</v>
      </c>
      <c r="AP28" s="146" t="s">
        <v>1144</v>
      </c>
      <c r="AQ28" s="146" t="s">
        <v>1144</v>
      </c>
      <c r="AR28" s="146" t="s">
        <v>1144</v>
      </c>
      <c r="AS28" s="150" t="s">
        <v>1144</v>
      </c>
      <c r="AT28" s="232" t="s">
        <v>1161</v>
      </c>
      <c r="AU28" s="232" t="s">
        <v>1161</v>
      </c>
      <c r="AV28" s="232">
        <v>66</v>
      </c>
      <c r="AW28" s="232">
        <v>100</v>
      </c>
      <c r="AX28" s="232">
        <v>100</v>
      </c>
      <c r="AY28" s="232">
        <v>100</v>
      </c>
      <c r="BD28" s="149">
        <v>0</v>
      </c>
      <c r="BJ28" s="149">
        <v>0</v>
      </c>
      <c r="BK28" s="146" t="s">
        <v>1144</v>
      </c>
      <c r="BL28" s="146" t="s">
        <v>1144</v>
      </c>
      <c r="BM28" s="146" t="s">
        <v>1144</v>
      </c>
      <c r="BN28" s="146" t="s">
        <v>1144</v>
      </c>
      <c r="BO28" s="146" t="s">
        <v>1144</v>
      </c>
      <c r="BP28" s="146" t="s">
        <v>1144</v>
      </c>
      <c r="BQ28" s="146" t="s">
        <v>1144</v>
      </c>
      <c r="BR28" s="146" t="s">
        <v>1144</v>
      </c>
      <c r="BS28" s="146" t="s">
        <v>1144</v>
      </c>
      <c r="BT28" s="146" t="s">
        <v>1144</v>
      </c>
      <c r="BU28" s="146" t="s">
        <v>1144</v>
      </c>
      <c r="BV28" s="146" t="s">
        <v>1144</v>
      </c>
      <c r="BW28" s="154" t="s">
        <v>1144</v>
      </c>
      <c r="BX28" s="154" t="s">
        <v>1144</v>
      </c>
      <c r="BY28" s="154" t="s">
        <v>1144</v>
      </c>
      <c r="BZ28" s="154">
        <v>1</v>
      </c>
      <c r="CA28" s="154" t="s">
        <v>1144</v>
      </c>
      <c r="CB28" s="154" t="s">
        <v>1144</v>
      </c>
      <c r="CC28" s="154" t="s">
        <v>1144</v>
      </c>
      <c r="CD28" s="219">
        <v>1</v>
      </c>
      <c r="CE28" s="219" t="s">
        <v>251</v>
      </c>
      <c r="CF28" s="154" t="s">
        <v>1144</v>
      </c>
      <c r="CG28" s="154" t="s">
        <v>1144</v>
      </c>
      <c r="CH28" s="154" t="s">
        <v>1144</v>
      </c>
      <c r="CI28" s="154" t="s">
        <v>1144</v>
      </c>
      <c r="CJ28" s="154" t="s">
        <v>1144</v>
      </c>
      <c r="CK28" s="154" t="s">
        <v>1144</v>
      </c>
      <c r="CL28" s="154" t="s">
        <v>1144</v>
      </c>
      <c r="CM28" s="154" t="s">
        <v>1144</v>
      </c>
      <c r="CN28" s="154" t="s">
        <v>1144</v>
      </c>
      <c r="CO28" s="154" t="s">
        <v>1144</v>
      </c>
      <c r="CP28" s="154" t="s">
        <v>1144</v>
      </c>
      <c r="CQ28" s="154" t="s">
        <v>1144</v>
      </c>
      <c r="CR28" s="154" t="s">
        <v>1144</v>
      </c>
      <c r="CS28" s="154" t="s">
        <v>1144</v>
      </c>
      <c r="CT28" s="154" t="s">
        <v>1144</v>
      </c>
      <c r="CU28" s="154" t="s">
        <v>1144</v>
      </c>
      <c r="CV28" s="154" t="s">
        <v>1144</v>
      </c>
      <c r="CW28" s="154" t="s">
        <v>1381</v>
      </c>
      <c r="CX28" s="154" t="s">
        <v>1144</v>
      </c>
      <c r="CY28" s="154" t="s">
        <v>1144</v>
      </c>
      <c r="CZ28" s="154" t="s">
        <v>1144</v>
      </c>
      <c r="DA28" s="154" t="s">
        <v>1144</v>
      </c>
      <c r="DB28" s="152" t="str">
        <f t="shared" si="32"/>
        <v xml:space="preserve">Plan de Acción, SGC, PROCESO: Asistencia, atención y reparación integral a víctimas del conflicto armado e implementación de acciones de memoria, paz y reconciliación en Bogotá, 01_CONPES 1.1.26, </v>
      </c>
      <c r="DC28" s="149" t="str">
        <f t="shared" ref="DC28:DG37" si="75">+VLOOKUP($A28,consolidado,MATCH(DC$5,consolidadofila,0),0)</f>
        <v>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v>
      </c>
      <c r="DD28" s="149" t="str">
        <f t="shared" si="75"/>
        <v>Corresponde a las actividades que realiza el equipo de sistemas para realizar mejoras al sistema AVANTI, con ocasión de las mejoras solicitadas por las entidades.</v>
      </c>
      <c r="DE28" s="149" t="str">
        <f t="shared" si="75"/>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
      <c r="DF28" s="149" t="str">
        <f t="shared" si="75"/>
        <v>Evidencias y soportes que den cuenta del logro de los hitos trazados por año para la mejora del sistema.</v>
      </c>
      <c r="DG28" s="149" t="str">
        <f t="shared" si="75"/>
        <v>Constante</v>
      </c>
      <c r="DH28" s="149" t="str">
        <f t="shared" si="2"/>
        <v/>
      </c>
      <c r="DI28" s="149">
        <f t="shared" si="3"/>
        <v>100</v>
      </c>
      <c r="DJ28" s="149">
        <f t="shared" si="4"/>
        <v>100</v>
      </c>
      <c r="DK28" s="149">
        <f t="shared" si="5"/>
        <v>100</v>
      </c>
      <c r="DL28" s="149">
        <f t="shared" si="6"/>
        <v>100</v>
      </c>
      <c r="DM28" s="149">
        <f t="shared" si="7"/>
        <v>100</v>
      </c>
      <c r="DN28" s="149">
        <f t="shared" si="36"/>
        <v>0</v>
      </c>
      <c r="DO28" s="149">
        <f t="shared" si="74"/>
        <v>100</v>
      </c>
      <c r="DP28" s="149">
        <f t="shared" si="74"/>
        <v>100</v>
      </c>
      <c r="DQ28" s="149">
        <f t="shared" si="74"/>
        <v>100</v>
      </c>
      <c r="DR28" s="149">
        <f t="shared" si="74"/>
        <v>100</v>
      </c>
      <c r="DS28" s="149">
        <f t="shared" si="74"/>
        <v>100</v>
      </c>
      <c r="DT28" s="149">
        <f t="shared" si="74"/>
        <v>0</v>
      </c>
      <c r="DU28" s="149">
        <f t="shared" ref="DU28:ED37" si="76">+VLOOKUP($A28,consolidado,MATCH(DU$5,consolidadofila,0),0)</f>
        <v>100</v>
      </c>
      <c r="DV28" s="149">
        <f t="shared" si="76"/>
        <v>0</v>
      </c>
      <c r="DW28" s="149">
        <f t="shared" si="76"/>
        <v>0</v>
      </c>
      <c r="DX28" s="149" t="str">
        <f t="shared" si="76"/>
        <v>Para el mes de enero no se programaron actividades</v>
      </c>
      <c r="DY28" s="149" t="str">
        <f t="shared" si="76"/>
        <v>NA</v>
      </c>
      <c r="DZ28" s="149" t="str">
        <f t="shared" si="76"/>
        <v>NA</v>
      </c>
      <c r="EA28" s="149">
        <f t="shared" si="76"/>
        <v>3</v>
      </c>
      <c r="EB28" s="149">
        <f t="shared" si="76"/>
        <v>3</v>
      </c>
      <c r="EC28" s="149" t="str">
        <f t="shared" si="76"/>
        <v xml:space="preserve">Durante el mes de febrero de 2020, se construyó el modelo de procesos de negocios, donde se describen los pasos a seguir para que una entidad distrital cargue masivamente en el sistema Avanti, sus respectivos seguimientos PAD.
1. Se socializaron los siguientes documentos con la nueva persona encargada de la administración funcional del sistema Avanti:
    1.1. Modelo de contexto del sistema
    1.2. Modelo de procesos de negocio para cargar seguimientos masivamente
    1.3. Estructura del acompañamiento técnico a entidades SDARIV
2. Se activaron las cuentas de usuario de las personas responsables por entidad en el ambiente de pruebas del sistema, de manera que el nuevo administrador funcional del sistema probara el cargue de los seguimientos de las entidades SDARIV. 
3. Posteriormente, se realizaron las respectivas adecuaciones a los archivos y proceder a cargar al ambiente de producción del sistema.
</v>
      </c>
      <c r="ED28" s="149" t="str">
        <f t="shared" si="76"/>
        <v>No se presentó ningún retraso</v>
      </c>
      <c r="EE28" s="149" t="str">
        <f t="shared" ref="EE28:EN37" si="77">+VLOOKUP($A28,consolidado,MATCH(EE$5,consolidadofila,0),0)</f>
        <v>Con la inducción al nuevo adrministrador del sistema se da continuidad a ejecución de la herramienta y se garantiza que el administrador pueda dar respuesta a las peticiones de los usuarios externos que hacen uso de ella.</v>
      </c>
      <c r="EF28" s="149">
        <f t="shared" si="77"/>
        <v>5</v>
      </c>
      <c r="EG28" s="149">
        <f t="shared" si="77"/>
        <v>5</v>
      </c>
      <c r="EH28" s="149" t="str">
        <f t="shared" si="77"/>
        <v>Durante el mes de marzo de 2020, se inicio la construcción de nuevas funcionalidades, adecuando otras ya existentes en el sistema, de manera que se pueda adaptar a la inclusión de nuevas entidades que adquieran compromisos en el marco de la Política Pública de Víctimas. La intención es que si una o mas entidades ingresan al sistema en un corte específico, los cortes anteriores no se vean afectados respecto al avance en el cumplimento en la meta PAD, ni en el avance presupuestal, ni en ninguna otra cifra.
En tal sentido, en cada una de las pantallas del sistema con acceso de cara al ciudadano, se realizaron las siguientes actividades:
1. Adecuación en la sección de Metas PAD por componente en la vigencia de la página principal, donde se ajustó el conteo de metas PAD y el respectivo presupuesto aprobado por componente.
2. Adecuación en la gráfica Cumplimiento Meta PAD en la vigencia, donde se ajustó el cálculo del %, teniendo en cuenta nuevas entidades ingresadas.
- Adecuación en la gráfica Presupuesto PAD Plurianual de la página principal, donde se creó el cálculo automático de las series de la gráfica: Actualización aprobada por CDJT, Vigente y Ejecutado en cada una de las vigencias.
3. Adecuación del tablero de control por entidad, donde se ajustaron el conteo de metas PAD, el % de cumplimiento PAD, se agregó el % de cumplimiento de participación en PAD con base en el presupuesto aprobado, así como el presupuesto vigente y ejecutado. Adicionalmente, se ajustó la forma de calcular el avance en el cumplimiento de las metas PAD de manera histórica en una vigencia, así como el respectivo avance presupuestal histórico en la misma vigencia.
4. Adecuación del tablero de control por componente, donde se ajustaron el conteo de metas PAD, el % de cumplimiento PAD, se agregó el % de cumplimiento de participación en PAD con base en el presupuesto aprobado, así como el presupuesto vigente y ejecutado. Adicionalmente, se agregaron las gráficas de avance en el cumplimiento de las metas PAD de manera histórica en una vigencia, así como el respectivo avance presupuestal histórico en la misma vigencia.
5. Adecuación de la Vista por componentes en la vigencia, donde se ajustó el conteo de las metas PAD y el respectivo presupuesto aprobado por componente.
Cabe aclarar que todas las adecuaciones mencionadas incluyen ajustes, modificaciones y/o creaciones:
- En las consultas HQL y SQL utilizadas en la capa de acceso a datos de la arquitectura, 
- En la lógica utilizada en la capa de servicios de negocio de la arquitectura.
- En los métodos utilizados en los beans manejados de la capa de presentación de la arquitectura.</v>
      </c>
      <c r="EI28" s="149" t="str">
        <f t="shared" si="77"/>
        <v>No se presentó ningún retraso</v>
      </c>
      <c r="EJ28" s="149" t="str">
        <f t="shared" si="77"/>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
      <c r="EK28" s="149">
        <f t="shared" si="77"/>
        <v>4</v>
      </c>
      <c r="EL28" s="149">
        <f t="shared" si="77"/>
        <v>4</v>
      </c>
      <c r="EM28" s="149" t="str">
        <f t="shared" si="77"/>
        <v xml:space="preserve">Durante el mes de abril se migro funcionalidades del sistema a la nueva arquitectura toda vez que el sistema se pensó inicialmente para brindar soporte a las 18 entidades que hacían parte del SDARIV en la vigencia 2017, por ello fue necesario rediseñar la arquitectura del sistema Avanti para que soportara la inclusión de nuevas entidades sin que se afecten las cifras reportadas en cortes de vigencias anteriores. 
En este mes se alcanzaron a completar las siguientes funcionalidades en el nivel de acceso público para cada una de las capas de la arquitectura:
1. Cumplimiento Meta PAD por vigencia.
2. Metas PAD por componente en vigencia
3. Mapa distrital con entidades SDARIV.
4. Presupuesto PAD Plurianual
A grandes rasgos el sistema se dividió en dos componentes:
1. Componente Back-en
En este componente se crearon las consultas SQL necesarias para extraer información de la base de datos, así como reestructuraciones en la lógica de negocio y controladores REST para exponer la funcionalidad vía protocolo HTTP. Para este componente se utilizó el siguiente stack de tecnologías:
- Spring Framework
- Rest Controllers
- FasterXML / Jackson
- Hibérnate
- PostgreSQL
2. Componente Front-en
En este componente se crearon las páginas con su respectivo controlador en typescript, así como los componentes reutilizables, pipes de datos y servicios para conectar con el componente back-en. Para este componente se utilizó el siguiente stack de tecnologías:
- Angular
- Highcharts
- Componentes
- Pipes
- Services
- Interfaces"
</v>
      </c>
      <c r="EN28" s="149" t="str">
        <f t="shared" si="77"/>
        <v>No se presentó ningún retraso</v>
      </c>
      <c r="EO28" s="149" t="str">
        <f t="shared" ref="EO28:FC43" si="78">+VLOOKUP($A28,consolidado,MATCH(EO$5,consolidadofila,0),0)</f>
        <v>Se logra la ampliació del sistema para que brinde soporte a mas entidades y pueda seguir creciendo como sistema administrador de componentes de la politica de victimas.</v>
      </c>
      <c r="EP28" s="149">
        <f t="shared" si="78"/>
        <v>17</v>
      </c>
      <c r="EQ28" s="149">
        <f t="shared" si="78"/>
        <v>17</v>
      </c>
      <c r="ER28" s="149" t="str">
        <f t="shared" si="78"/>
        <v xml:space="preserve">Durante el mes de mayo de 2020, se ha alcanzaron a completar las siguientes funcionalidades en el nivel de acceso público para cada una de las capas de la arquitectura:
1. Página inicial - Cumplimiento Meta PAD por vigencia.
2. Página inicial - Metas PAD por componente en vigencia.
3. Página inicial - Mapa distrital con entidades SDARIV.
4. Página inicial - Presupuesto PAD Plurianual.
5. Página Datos Abiertos - Búsqueda de datos abiertos por palabra clave en el nombre del archivo.
6. Página Datos Abiertos - Búsqueda de datos abiertos por entidad.
7. Página Datos Abiertos - Búsqueda de datos abiertos por componentes.
8. Página Tablero de control de entidad - Avance físico cumplimiento meta PAD.
9. Página Tablero de control de entidad - Avance presupuestal cumplimiento meta PAD.
10. Página Tablero de control de entidad - Datos abiertos de entidad por componente.
11. Página Metas PAD por entidad - Listado de metas
12. Página Metas PAD por entidad - Ficha técnica de meta seleccionada
13. Página Tablero de control de componente - Avance físico cumplimiento meta PAD.
14. Página Tablero de control de componente - Avance presupuestal cumplimiento meta PAD.
15. Página Tablero de control de componente - Datos abiertos de entidad por componente.
16. Página Metas PAD por componente - Listado de metas
17. Página Metas PAD por componente - Ficha técnica de meta seleccionada
Cabe aclarar que los cambios mencionados anteriormente en el sistema Avanti se encuentran en un ambiente de pruebas. 
</v>
      </c>
      <c r="ES28" s="149" t="str">
        <f t="shared" si="78"/>
        <v>No se presentó ningún retraso</v>
      </c>
      <c r="ET28" s="149" t="str">
        <f t="shared" si="78"/>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
      <c r="EU28" s="149" t="str">
        <f t="shared" si="44"/>
        <v/>
      </c>
      <c r="EV28" s="149" t="str">
        <f t="shared" si="44"/>
        <v/>
      </c>
      <c r="EW28" s="149" t="str">
        <f t="shared" si="44"/>
        <v/>
      </c>
      <c r="EX28" s="149" t="str">
        <f t="shared" si="44"/>
        <v/>
      </c>
      <c r="EY28" s="149" t="str">
        <f t="shared" si="44"/>
        <v/>
      </c>
      <c r="EZ28" s="149">
        <f t="shared" si="78"/>
        <v>29</v>
      </c>
      <c r="FA28" s="149">
        <f t="shared" si="78"/>
        <v>29</v>
      </c>
      <c r="FB28" s="149" t="str">
        <f t="shared" si="78"/>
        <v/>
      </c>
      <c r="FC28" s="149" t="str">
        <f t="shared" si="78"/>
        <v/>
      </c>
      <c r="FD28" s="149" t="str">
        <f t="shared" ref="FD28:FM37" si="79">+VLOOKUP($A28,consolidado,MATCH(FD$5,consolidadofila,0),0)</f>
        <v/>
      </c>
      <c r="FE28" s="149" t="str">
        <f t="shared" si="79"/>
        <v/>
      </c>
      <c r="FF28" s="149" t="str">
        <f t="shared" si="79"/>
        <v/>
      </c>
      <c r="FG28" s="149" t="str">
        <f t="shared" si="79"/>
        <v/>
      </c>
      <c r="FH28" s="149" t="str">
        <f t="shared" si="79"/>
        <v/>
      </c>
      <c r="FI28" s="149" t="str">
        <f t="shared" si="79"/>
        <v/>
      </c>
      <c r="FJ28" s="149" t="str">
        <f t="shared" si="79"/>
        <v/>
      </c>
      <c r="FK28" s="149" t="str">
        <f t="shared" si="79"/>
        <v/>
      </c>
      <c r="FL28" s="149" t="str">
        <f t="shared" si="79"/>
        <v/>
      </c>
      <c r="FM28" s="149" t="str">
        <f t="shared" si="79"/>
        <v/>
      </c>
      <c r="FN28" s="149" t="str">
        <f t="shared" ref="FN28:FW37" si="80">+VLOOKUP($A28,consolidado,MATCH(FN$5,consolidadofila,0),0)</f>
        <v/>
      </c>
      <c r="FO28" s="149" t="str">
        <f t="shared" si="80"/>
        <v/>
      </c>
      <c r="FP28" s="149" t="str">
        <f t="shared" si="80"/>
        <v/>
      </c>
      <c r="FQ28" s="149" t="str">
        <f t="shared" si="80"/>
        <v/>
      </c>
      <c r="FR28" s="149" t="str">
        <f t="shared" si="80"/>
        <v/>
      </c>
      <c r="FS28" s="149" t="str">
        <f t="shared" si="80"/>
        <v/>
      </c>
      <c r="FT28" s="149" t="str">
        <f t="shared" si="80"/>
        <v/>
      </c>
      <c r="FU28" s="149" t="str">
        <f t="shared" si="80"/>
        <v/>
      </c>
      <c r="FV28" s="149" t="str">
        <f t="shared" si="80"/>
        <v/>
      </c>
      <c r="FW28" s="149" t="str">
        <f t="shared" si="80"/>
        <v/>
      </c>
      <c r="FX28" s="149" t="str">
        <f t="shared" ref="FX28:GE37" si="81">+VLOOKUP($A28,consolidado,MATCH(FX$5,consolidadofila,0),0)</f>
        <v/>
      </c>
      <c r="FY28" s="149" t="str">
        <f t="shared" si="81"/>
        <v/>
      </c>
      <c r="FZ28" s="149" t="str">
        <f t="shared" si="81"/>
        <v/>
      </c>
      <c r="GA28" s="149" t="str">
        <f t="shared" si="81"/>
        <v/>
      </c>
      <c r="GB28" s="149" t="str">
        <f t="shared" si="81"/>
        <v/>
      </c>
      <c r="GC28" s="149" t="str">
        <f t="shared" si="81"/>
        <v/>
      </c>
      <c r="GD28" s="149" t="str">
        <f t="shared" si="81"/>
        <v/>
      </c>
      <c r="GE28" s="149" t="str">
        <f t="shared" si="81"/>
        <v/>
      </c>
      <c r="GF28" s="149">
        <f t="shared" si="33"/>
        <v>0</v>
      </c>
      <c r="GG28" s="149">
        <f t="shared" si="22"/>
        <v>1</v>
      </c>
      <c r="GH28" s="149">
        <f t="shared" si="23"/>
        <v>1</v>
      </c>
      <c r="GI28" s="149">
        <f t="shared" si="24"/>
        <v>1</v>
      </c>
      <c r="GJ28" s="149">
        <f t="shared" si="25"/>
        <v>1</v>
      </c>
      <c r="GK28" s="149">
        <f t="shared" si="34"/>
        <v>1</v>
      </c>
      <c r="GL28" s="149">
        <f t="shared" si="15"/>
        <v>0</v>
      </c>
      <c r="GM28" s="149">
        <f t="shared" si="16"/>
        <v>100</v>
      </c>
      <c r="GN28" s="149">
        <f t="shared" si="17"/>
        <v>100</v>
      </c>
      <c r="GO28" s="149">
        <f t="shared" si="18"/>
        <v>100</v>
      </c>
      <c r="GP28" s="149">
        <f t="shared" si="19"/>
        <v>100</v>
      </c>
      <c r="GQ28" s="149" t="e">
        <f t="shared" si="19"/>
        <v>#VALUE!</v>
      </c>
      <c r="GR28" s="153">
        <f>+IF(DG28="Suma",SUM(GL28:GP28),AVERAGEIF(GL28:GP28,"&lt;&gt;0"))</f>
        <v>100</v>
      </c>
      <c r="GS28" s="149" t="str">
        <f>+IF(OR($A28=52,$A28="174B"),"",IFERROR(IF($X28="Creciente",IF($AB28="Número",SUM(GL28)/SUM(DO28)*($AX28-$AW28),SUM(GL28)/SUM(DO28))*($AX28-$AW28),IF(AND($DG28="Constante",$AB28="Porcentaje"),AVERAGEIF(GL28,"&lt;&gt;0")/AVERAGEIF(DO28,"&lt;&gt;0")*100,SUM(GL28)/SUM(DO28)*$DU28)),"No Programó"))</f>
        <v/>
      </c>
      <c r="GT28" s="149">
        <f>+IF(OR($A28=52,$A28="174B"),100,IFERROR(IF($X28="Creciente",IF($AB28="Número",SUM($GL28:GM28)/SUM($DO28:DP28)*($AX28-$AW28),SUM($GL28:GM28)/SUM($DO28:DP28))*($AX28-$AW28),IF($DG28="Creciente",GM28*GM28/GM28,IF(AND($DG28="Constante",$AB28="Porcentaje"),AVERAGEIF($GL28:GM28,"&lt;&gt;0")/AVERAGEIF($DO28:DP28,"&lt;&gt;0")*100,SUM($GL28:GM28)/SUM($DO28:DP28)*$DU28))),GS28))</f>
        <v>100</v>
      </c>
      <c r="GU28" s="149">
        <f>+IF(OR($A28=52,$A28="174B"),100,IFERROR(IF($X28="Creciente",IF($AB28="Número",SUM($GL28:GN28)/SUM($DO28:DQ28)*($AX28-$AW28),SUM($GL28:GN28)/SUM($DO28:DQ28))*($AX28-$AW28),IF($DG28="Creciente",GN28*GN28/GN28,IF(AND($DG28="Constante",$AB28="Porcentaje"),AVERAGEIF($GL28:GN28,"&lt;&gt;0")/AVERAGEIF($DO28:DQ28,"&lt;&gt;0")*100,SUM($GL28:GN28)/SUM($DO28:DQ28)*$DU28))),GT28))</f>
        <v>100</v>
      </c>
      <c r="GV28" s="149">
        <f>+IF(OR($A28=52,$A28="174B"),100,IFERROR(IF($X28="Creciente",IF($AB28="Número",SUM($GL28:GO28)/SUM($DO28:DR28)*($AX28-$AW28),SUM($GL28:GO28)/SUM($DO28:DR28))*($AX28-$AW28),IF($DG28="Creciente",GO28*GO28/GO28,IF(AND($DG28="Constante",$AB28="Porcentaje"),AVERAGEIF($GL28:GO28,"&lt;&gt;0")/AVERAGEIF($DO28:DR28,"&lt;&gt;0")*100,SUM($GL28:GO28)/SUM($DO28:DR28)*$DU28))),GU28))</f>
        <v>100</v>
      </c>
      <c r="GW28" s="149">
        <f>+IF(OR($A28=52,$A28="174B"),100,IFERROR(IF($X28="Creciente",IF($AB28="Número",SUM($GL28:GP28)/SUM($DO28:DS28)*($AX28-$AW28),SUM($GL28:GP28)/SUM($DO28:DS28))*($AX28-$AW28),IF($DG28="Creciente",GP28*GP28/GP28,IF(AND($DG28="Constante",$AB28="Porcentaje"),AVERAGEIF($GL28:GP28,"&lt;&gt;0")/AVERAGEIF($DO28:DS28,"&lt;&gt;0")*100,SUM($GL28:GP28)/SUM($DO28:DS28)*$DU28))),GV28))</f>
        <v>100</v>
      </c>
      <c r="GX28" s="149">
        <f>+IF(OR($A28=52,$A28="174B"),100,IFERROR(IF($X28="Creciente",IF($AB28="Número",SUM($GL28:GQ28)/SUM($DO28:DT28)*($AX28-$AW28),SUM($GL28:GQ28)/SUM($DO28:DT28))*($AX28-$AW28),IF($DG28="Creciente",GQ28*GQ28/GQ28,IF(AND($DG28="Constante",$AB28="Porcentaje"),AVERAGEIF($GL28:GQ28,"&lt;&gt;0")/AVERAGEIF($DO28:DT28,"&lt;&gt;0")*100,SUM($GL28:GQ28)/SUM($DO28:DT28)*$DU28))),GW28))</f>
        <v>100</v>
      </c>
      <c r="GY28" s="149" t="str">
        <f t="shared" si="28"/>
        <v>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v>
      </c>
      <c r="GZ28" s="149" t="str">
        <f t="shared" si="29"/>
        <v>Corresponde a las actividades que realiza el equipo de sistemas para realizar mejoras al sistema AVANTI, con ocasión de las mejoras solicitadas por las entidades.</v>
      </c>
      <c r="HA28" s="149" t="str">
        <f t="shared" si="30"/>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
      <c r="HB28" s="149" t="str">
        <f t="shared" si="31"/>
        <v>Evidencias y soportes que den cuenta del logro de los hitos trazados por año para la mejora del sistema.</v>
      </c>
      <c r="HC28" s="149" t="str">
        <f t="shared" si="72"/>
        <v>Cumple</v>
      </c>
      <c r="HD28" s="149" t="str">
        <f t="shared" si="72"/>
        <v>Cumplido</v>
      </c>
      <c r="HE28" s="149" t="str">
        <f t="shared" si="72"/>
        <v>Adecuado</v>
      </c>
      <c r="HF28" s="149" t="str">
        <f t="shared" si="72"/>
        <v>Coherente</v>
      </c>
      <c r="HG28" s="149" t="str">
        <f t="shared" si="72"/>
        <v>Concuerda</v>
      </c>
      <c r="HH28" s="149" t="str">
        <f t="shared" si="72"/>
        <v>Concuerda</v>
      </c>
      <c r="HI28" s="149">
        <f t="shared" si="72"/>
        <v>0</v>
      </c>
      <c r="HJ28" s="149" t="str">
        <f t="shared" si="72"/>
        <v>Adecuado</v>
      </c>
      <c r="HK28" s="149" t="str">
        <f t="shared" si="72"/>
        <v>Oportuna</v>
      </c>
      <c r="HL28" s="149" t="str">
        <f t="shared" si="72"/>
        <v>Ninguna</v>
      </c>
      <c r="HM28" s="149" t="str">
        <f t="shared" si="73"/>
        <v>Marcela Andrea García Guerrero</v>
      </c>
      <c r="HN28" s="149" t="str">
        <f t="shared" si="73"/>
        <v>No aplica</v>
      </c>
      <c r="HO28" s="149" t="str">
        <f t="shared" si="73"/>
        <v>No aplica</v>
      </c>
      <c r="HP28" s="149" t="str">
        <f t="shared" si="73"/>
        <v>No aplica</v>
      </c>
      <c r="HQ28" s="149" t="str">
        <f t="shared" si="73"/>
        <v>No aplica</v>
      </c>
      <c r="HR28" s="149" t="str">
        <f t="shared" si="73"/>
        <v>No aplica</v>
      </c>
      <c r="HS28" s="149" t="str">
        <f t="shared" si="73"/>
        <v>No aplica</v>
      </c>
      <c r="HT28" s="149">
        <f t="shared" si="73"/>
        <v>0</v>
      </c>
      <c r="HU28" s="149" t="str">
        <f t="shared" si="73"/>
        <v>No aplica</v>
      </c>
      <c r="HV28" s="149" t="str">
        <f t="shared" si="73"/>
        <v>No aplica</v>
      </c>
      <c r="HW28" s="149" t="str">
        <f t="shared" si="73"/>
        <v>No aplica</v>
      </c>
      <c r="HX28" s="149">
        <f t="shared" si="73"/>
        <v>0</v>
      </c>
    </row>
    <row r="29" spans="1:241" s="149" customFormat="1" x14ac:dyDescent="0.3">
      <c r="A29" s="145" t="s">
        <v>355</v>
      </c>
      <c r="B29" s="146" t="s">
        <v>1144</v>
      </c>
      <c r="C29" s="146" t="s">
        <v>1144</v>
      </c>
      <c r="D29" s="146" t="s">
        <v>1144</v>
      </c>
      <c r="E29" s="146" t="s">
        <v>1144</v>
      </c>
      <c r="F29" s="136" t="s">
        <v>1382</v>
      </c>
      <c r="G29" s="146" t="s">
        <v>1144</v>
      </c>
      <c r="H29" s="146" t="s">
        <v>1144</v>
      </c>
      <c r="I29" s="149" t="s">
        <v>1146</v>
      </c>
      <c r="J29" s="154" t="s">
        <v>146</v>
      </c>
      <c r="K29" s="154" t="s">
        <v>147</v>
      </c>
      <c r="L29" s="154" t="s">
        <v>1361</v>
      </c>
      <c r="M29" s="154" t="s">
        <v>1147</v>
      </c>
      <c r="N29" s="154" t="s">
        <v>1305</v>
      </c>
      <c r="O29" s="154" t="s">
        <v>1362</v>
      </c>
      <c r="P29" s="148" t="s">
        <v>1382</v>
      </c>
      <c r="Q29" s="154" t="s">
        <v>1383</v>
      </c>
      <c r="R29" s="154" t="s">
        <v>1384</v>
      </c>
      <c r="S29" s="154" t="s">
        <v>1385</v>
      </c>
      <c r="T29" s="154" t="s">
        <v>1386</v>
      </c>
      <c r="U29" s="154" t="s">
        <v>1387</v>
      </c>
      <c r="V29" s="154" t="s">
        <v>1388</v>
      </c>
      <c r="W29" s="148" t="s">
        <v>601</v>
      </c>
      <c r="X29" s="154" t="s">
        <v>601</v>
      </c>
      <c r="Y29" s="166"/>
      <c r="Z29" s="154" t="s">
        <v>1389</v>
      </c>
      <c r="AA29" s="154" t="s">
        <v>1390</v>
      </c>
      <c r="AB29" s="154" t="s">
        <v>602</v>
      </c>
      <c r="AC29" s="154" t="s">
        <v>1293</v>
      </c>
      <c r="AD29" s="154" t="s">
        <v>1031</v>
      </c>
      <c r="AE29" s="154">
        <v>2018</v>
      </c>
      <c r="AF29" s="154">
        <v>1</v>
      </c>
      <c r="AG29" s="154">
        <v>2017</v>
      </c>
      <c r="AH29" s="154" t="s">
        <v>1161</v>
      </c>
      <c r="AI29" s="154" t="s">
        <v>1161</v>
      </c>
      <c r="AJ29" s="154">
        <v>1</v>
      </c>
      <c r="AK29" s="154">
        <v>1</v>
      </c>
      <c r="AL29" s="218">
        <v>1</v>
      </c>
      <c r="AM29" s="154">
        <v>1</v>
      </c>
      <c r="AN29" s="146" t="s">
        <v>1144</v>
      </c>
      <c r="AO29" s="146" t="s">
        <v>1144</v>
      </c>
      <c r="AP29" s="146" t="s">
        <v>1144</v>
      </c>
      <c r="AQ29" s="146" t="s">
        <v>1144</v>
      </c>
      <c r="AR29" s="146" t="s">
        <v>1144</v>
      </c>
      <c r="AS29" s="150" t="s">
        <v>1144</v>
      </c>
      <c r="AT29" s="232" t="s">
        <v>1161</v>
      </c>
      <c r="AU29" s="232" t="s">
        <v>1161</v>
      </c>
      <c r="AV29" s="232">
        <v>100</v>
      </c>
      <c r="AW29" s="232">
        <v>100</v>
      </c>
      <c r="AX29" s="232">
        <v>100</v>
      </c>
      <c r="AY29" s="232">
        <v>100</v>
      </c>
      <c r="BD29" s="149">
        <v>0</v>
      </c>
      <c r="BJ29" s="149">
        <v>0</v>
      </c>
      <c r="BK29" s="146" t="s">
        <v>1144</v>
      </c>
      <c r="BL29" s="146" t="s">
        <v>1144</v>
      </c>
      <c r="BM29" s="146" t="s">
        <v>1144</v>
      </c>
      <c r="BN29" s="146" t="s">
        <v>1144</v>
      </c>
      <c r="BO29" s="146" t="s">
        <v>1144</v>
      </c>
      <c r="BP29" s="146" t="s">
        <v>1144</v>
      </c>
      <c r="BQ29" s="146" t="s">
        <v>1144</v>
      </c>
      <c r="BR29" s="146" t="s">
        <v>1144</v>
      </c>
      <c r="BS29" s="146" t="s">
        <v>1144</v>
      </c>
      <c r="BT29" s="146" t="s">
        <v>1144</v>
      </c>
      <c r="BU29" s="146" t="s">
        <v>1144</v>
      </c>
      <c r="BV29" s="146" t="s">
        <v>1144</v>
      </c>
      <c r="BW29" s="154" t="s">
        <v>1144</v>
      </c>
      <c r="BX29" s="154" t="s">
        <v>1144</v>
      </c>
      <c r="BY29" s="154" t="s">
        <v>1144</v>
      </c>
      <c r="BZ29" s="154">
        <v>1</v>
      </c>
      <c r="CA29" s="154" t="s">
        <v>1144</v>
      </c>
      <c r="CB29" s="154" t="s">
        <v>1144</v>
      </c>
      <c r="CC29" s="154" t="s">
        <v>1144</v>
      </c>
      <c r="CD29" s="219">
        <v>1</v>
      </c>
      <c r="CE29" s="219" t="s">
        <v>251</v>
      </c>
      <c r="CF29" s="154" t="s">
        <v>1144</v>
      </c>
      <c r="CG29" s="154" t="s">
        <v>1144</v>
      </c>
      <c r="CH29" s="154" t="s">
        <v>1144</v>
      </c>
      <c r="CI29" s="154" t="s">
        <v>1144</v>
      </c>
      <c r="CJ29" s="154" t="s">
        <v>1144</v>
      </c>
      <c r="CK29" s="154" t="s">
        <v>1144</v>
      </c>
      <c r="CL29" s="154" t="s">
        <v>1144</v>
      </c>
      <c r="CM29" s="154" t="s">
        <v>1144</v>
      </c>
      <c r="CN29" s="154" t="s">
        <v>1144</v>
      </c>
      <c r="CO29" s="154" t="s">
        <v>1144</v>
      </c>
      <c r="CP29" s="154" t="s">
        <v>1144</v>
      </c>
      <c r="CQ29" s="154" t="s">
        <v>1144</v>
      </c>
      <c r="CR29" s="154" t="s">
        <v>1144</v>
      </c>
      <c r="CS29" s="154" t="s">
        <v>1144</v>
      </c>
      <c r="CT29" s="154" t="s">
        <v>1144</v>
      </c>
      <c r="CU29" s="154" t="s">
        <v>1144</v>
      </c>
      <c r="CV29" s="154" t="s">
        <v>1144</v>
      </c>
      <c r="CW29" s="154" t="s">
        <v>1391</v>
      </c>
      <c r="CX29" s="154" t="s">
        <v>1144</v>
      </c>
      <c r="CY29" s="154" t="s">
        <v>1144</v>
      </c>
      <c r="CZ29" s="154" t="s">
        <v>1144</v>
      </c>
      <c r="DA29" s="154" t="s">
        <v>1144</v>
      </c>
      <c r="DB29" s="152" t="str">
        <f t="shared" si="32"/>
        <v xml:space="preserve">Plan de Acción, SGC, PROCESO: Asistencia, atención y reparación integral a víctimas del conflicto armado e implementación de acciones de memoria, paz y reconciliación en Bogotá, 01_CONPES 1.1.28, </v>
      </c>
      <c r="DC29" s="149" t="str">
        <f t="shared" si="75"/>
        <v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v>
      </c>
      <c r="DD29" s="149" t="str">
        <f t="shared" si="75"/>
        <v>Corresponde a las entidades que solicitan medias de acreditación (usuarios y contraseñas) para acceder al sistema VIVANTO desarrollado por la AURIV</v>
      </c>
      <c r="DE29" s="149" t="str">
        <f t="shared" si="75"/>
        <v>Permite el acceso a información consolidada de los diferentes sistemas de las entidades del SNARIV y  los marcos normativos que conforman el RUV (SIPOD, SIV, SIRAV y LEY 1448 de 2011), con las restricciones de seguridad y confidencialidad de la información.</v>
      </c>
      <c r="DF29" s="149" t="str">
        <f t="shared" si="75"/>
        <v>Sistema de Información a Victimas - SIVIC- / Sistema de Información de Oferta -SIGO-</v>
      </c>
      <c r="DG29" s="149" t="str">
        <f t="shared" si="75"/>
        <v>Constante</v>
      </c>
      <c r="DH29" s="149" t="str">
        <f t="shared" si="2"/>
        <v/>
      </c>
      <c r="DI29" s="149">
        <f t="shared" si="3"/>
        <v>100</v>
      </c>
      <c r="DJ29" s="149">
        <f t="shared" si="4"/>
        <v>100</v>
      </c>
      <c r="DK29" s="149">
        <f t="shared" si="5"/>
        <v>100</v>
      </c>
      <c r="DL29" s="149">
        <f t="shared" si="6"/>
        <v>100</v>
      </c>
      <c r="DM29" s="149">
        <f t="shared" si="7"/>
        <v>100</v>
      </c>
      <c r="DN29" s="149">
        <f t="shared" si="36"/>
        <v>0</v>
      </c>
      <c r="DO29" s="149">
        <f t="shared" si="74"/>
        <v>100</v>
      </c>
      <c r="DP29" s="149">
        <f t="shared" si="74"/>
        <v>100</v>
      </c>
      <c r="DQ29" s="149">
        <f t="shared" si="74"/>
        <v>100</v>
      </c>
      <c r="DR29" s="149">
        <f t="shared" si="74"/>
        <v>100</v>
      </c>
      <c r="DS29" s="149">
        <f t="shared" si="74"/>
        <v>100</v>
      </c>
      <c r="DT29" s="149">
        <f>IF(OR(A29="174A",A29="174B",A29="174C",A29="174D",A29="174E"),0,IF(AND($X29="Constante",$DG29="Constante"),$DU29,IF(AND($AB29="Porcentaje",$X29="Creciente",$DG29="Suma",$AW29&lt;&gt;"No Disponible / No Aplica",IFERROR($AX29-$AW29,0)&gt;0),VLOOKUP($A29,consolidado,MATCH(DT$5,consolidadofila,0),0)/$DH29*$AX29*($AX29-$AW29)/$AX29,IF(AND($AB29="Porcentaje",$X29="Creciente",,$AW29&lt;&gt;"No Disponible / No Aplica",IFERROR($AX29-$AW29,0)&gt;0,OR($DG29="Constante",$DG29="Creciente")),VLOOKUP($A29,consolidado,MATCH(DT$5,consolidadofila,0),0)*($AX29-$AW29)/$AX29,IF(AND($AB29="Número",$X29="Creciente"),VLOOKUP($A29,consolidado,MATCH(DT$5,consolidadofila,0),0),IF(AND($AB29="Porcentaje",$DG29="Suma"),VLOOKUP($A29,consolidado,MATCH(DT$5,consolidadofila,0),0)/$DH29*$AX29,IF(AND($AB29="Porcentaje",OR($DG29="Constante",$DG29="Creciente")),VLOOKUP($A29,consolidado,MATCH(DT$5,consolidadofila,0),0),IF($AB29="Número",VLOOKUP($A29,consolidado,MATCH(DT$5,consolidadofila,0),0)))))))))</f>
        <v>0</v>
      </c>
      <c r="DU29" s="149">
        <f t="shared" si="76"/>
        <v>100</v>
      </c>
      <c r="DV29" s="149">
        <f t="shared" si="76"/>
        <v>33</v>
      </c>
      <c r="DW29" s="149">
        <f t="shared" si="76"/>
        <v>33</v>
      </c>
      <c r="DX29" s="149" t="str">
        <f t="shared" si="76"/>
        <v>En el mes de enero se gestionaron solicitudes de creación y/o activación a 33 usuarios Vivanto, 23 solicitudes de SDIS,  1 solicitud de SDS, 9 solicitudes de ACDVPR.</v>
      </c>
      <c r="DY29" s="149" t="str">
        <f t="shared" si="76"/>
        <v>No se presentó ningún retraso</v>
      </c>
      <c r="DZ29" s="149" t="str">
        <f t="shared" si="76"/>
        <v>Estas acciones permiten a las entidades conocer la oferta distrital para la atención a víctimas del conflicto armado en el DC.</v>
      </c>
      <c r="EA29" s="149">
        <f t="shared" si="76"/>
        <v>0</v>
      </c>
      <c r="EB29" s="149">
        <f t="shared" si="76"/>
        <v>0</v>
      </c>
      <c r="EC29" s="149" t="str">
        <f t="shared" si="76"/>
        <v>No se recibieron solicitudes de creación de usuarios, ni asistencias técnicas.</v>
      </c>
      <c r="ED29" s="149" t="str">
        <f t="shared" si="76"/>
        <v>No se presentó ningún retraso</v>
      </c>
      <c r="EE29" s="149" t="str">
        <f t="shared" si="77"/>
        <v>NA</v>
      </c>
      <c r="EF29" s="149">
        <f t="shared" si="77"/>
        <v>0</v>
      </c>
      <c r="EG29" s="149">
        <f t="shared" si="77"/>
        <v>0</v>
      </c>
      <c r="EH29" s="149" t="str">
        <f t="shared" si="77"/>
        <v>No se recibieron solicitudes de creación de usuarios, ni asistencias técnicas.</v>
      </c>
      <c r="EI29" s="149" t="str">
        <f t="shared" si="77"/>
        <v>No se presentó ningún retraso</v>
      </c>
      <c r="EJ29" s="149" t="str">
        <f t="shared" si="77"/>
        <v>NA</v>
      </c>
      <c r="EK29" s="149">
        <f t="shared" si="77"/>
        <v>3</v>
      </c>
      <c r="EL29" s="149">
        <f t="shared" si="77"/>
        <v>3</v>
      </c>
      <c r="EM29" s="149" t="str">
        <f t="shared" si="77"/>
        <v>En el mes de abril se gestionaron solicitudes de creación y/o activación a 3 usuarios de la UARIV</v>
      </c>
      <c r="EN29" s="149" t="str">
        <f t="shared" si="77"/>
        <v>No se presentó ningún retraso</v>
      </c>
      <c r="EO29" s="149" t="str">
        <f t="shared" si="78"/>
        <v>Estas acciones permiten a las entidades conocer la oferta distrital para la atención a víctimas del conflicto armado en el DC.</v>
      </c>
      <c r="EP29" s="149">
        <f t="shared" si="78"/>
        <v>4</v>
      </c>
      <c r="EQ29" s="149">
        <f t="shared" si="78"/>
        <v>4</v>
      </c>
      <c r="ER29" s="149" t="str">
        <f t="shared" si="78"/>
        <v>En el mes de mayo se gestionaron solicitudes de creación y/o activación a 4 usuarios de la UARIV para acceso al Vivanto, en los formatos para la creación y/o actualización de las cuentas de cada persona.
Adicionalmente, se mantiene actualizada la bitácora de gestión de usuarios para el Sistema Vivanto.</v>
      </c>
      <c r="ES29" s="149" t="str">
        <f t="shared" si="78"/>
        <v>No se presentó ningún retraso</v>
      </c>
      <c r="ET29" s="149" t="str">
        <f t="shared" si="78"/>
        <v>Se actualizo la matriz de usuarios de VIVANTO</v>
      </c>
      <c r="EU29" s="149" t="str">
        <f t="shared" si="44"/>
        <v/>
      </c>
      <c r="EV29" s="149" t="str">
        <f t="shared" si="44"/>
        <v/>
      </c>
      <c r="EW29" s="149" t="str">
        <f t="shared" si="44"/>
        <v/>
      </c>
      <c r="EX29" s="149" t="str">
        <f t="shared" si="44"/>
        <v/>
      </c>
      <c r="EY29" s="149" t="str">
        <f t="shared" si="44"/>
        <v/>
      </c>
      <c r="EZ29" s="149">
        <f t="shared" si="78"/>
        <v>40</v>
      </c>
      <c r="FA29" s="149">
        <f t="shared" si="78"/>
        <v>40</v>
      </c>
      <c r="FB29" s="149" t="str">
        <f t="shared" si="78"/>
        <v/>
      </c>
      <c r="FC29" s="149" t="str">
        <f t="shared" si="78"/>
        <v/>
      </c>
      <c r="FD29" s="149" t="str">
        <f t="shared" si="79"/>
        <v/>
      </c>
      <c r="FE29" s="149" t="str">
        <f t="shared" si="79"/>
        <v/>
      </c>
      <c r="FF29" s="149" t="str">
        <f t="shared" si="79"/>
        <v/>
      </c>
      <c r="FG29" s="149" t="str">
        <f t="shared" si="79"/>
        <v/>
      </c>
      <c r="FH29" s="149" t="str">
        <f t="shared" si="79"/>
        <v/>
      </c>
      <c r="FI29" s="149" t="str">
        <f t="shared" si="79"/>
        <v/>
      </c>
      <c r="FJ29" s="149" t="str">
        <f t="shared" si="79"/>
        <v/>
      </c>
      <c r="FK29" s="149" t="str">
        <f t="shared" si="79"/>
        <v/>
      </c>
      <c r="FL29" s="149" t="str">
        <f t="shared" si="79"/>
        <v/>
      </c>
      <c r="FM29" s="149" t="str">
        <f t="shared" si="79"/>
        <v/>
      </c>
      <c r="FN29" s="149" t="str">
        <f t="shared" si="80"/>
        <v/>
      </c>
      <c r="FO29" s="149" t="str">
        <f t="shared" si="80"/>
        <v/>
      </c>
      <c r="FP29" s="149" t="str">
        <f t="shared" si="80"/>
        <v/>
      </c>
      <c r="FQ29" s="149" t="str">
        <f t="shared" si="80"/>
        <v/>
      </c>
      <c r="FR29" s="149" t="str">
        <f t="shared" si="80"/>
        <v/>
      </c>
      <c r="FS29" s="149" t="str">
        <f t="shared" si="80"/>
        <v/>
      </c>
      <c r="FT29" s="149" t="str">
        <f t="shared" si="80"/>
        <v/>
      </c>
      <c r="FU29" s="149" t="str">
        <f t="shared" si="80"/>
        <v/>
      </c>
      <c r="FV29" s="149" t="str">
        <f t="shared" si="80"/>
        <v/>
      </c>
      <c r="FW29" s="149" t="str">
        <f t="shared" si="80"/>
        <v/>
      </c>
      <c r="FX29" s="149" t="str">
        <f t="shared" si="81"/>
        <v/>
      </c>
      <c r="FY29" s="149" t="str">
        <f t="shared" si="81"/>
        <v/>
      </c>
      <c r="FZ29" s="149" t="str">
        <f t="shared" si="81"/>
        <v/>
      </c>
      <c r="GA29" s="149" t="str">
        <f t="shared" si="81"/>
        <v/>
      </c>
      <c r="GB29" s="149" t="str">
        <f t="shared" si="81"/>
        <v/>
      </c>
      <c r="GC29" s="149" t="str">
        <f t="shared" si="81"/>
        <v/>
      </c>
      <c r="GD29" s="149" t="str">
        <f t="shared" si="81"/>
        <v/>
      </c>
      <c r="GE29" s="149" t="str">
        <f t="shared" si="81"/>
        <v/>
      </c>
      <c r="GF29" s="149">
        <f t="shared" si="33"/>
        <v>1</v>
      </c>
      <c r="GG29" s="149">
        <f t="shared" si="22"/>
        <v>0</v>
      </c>
      <c r="GH29" s="149">
        <f t="shared" si="23"/>
        <v>0</v>
      </c>
      <c r="GI29" s="149">
        <f t="shared" si="24"/>
        <v>1</v>
      </c>
      <c r="GJ29" s="149">
        <f t="shared" si="25"/>
        <v>1</v>
      </c>
      <c r="GK29" s="149">
        <f t="shared" si="34"/>
        <v>1</v>
      </c>
      <c r="GL29" s="149">
        <f t="shared" si="15"/>
        <v>100</v>
      </c>
      <c r="GM29" s="149">
        <f t="shared" si="16"/>
        <v>0</v>
      </c>
      <c r="GN29" s="149">
        <f t="shared" si="17"/>
        <v>0</v>
      </c>
      <c r="GO29" s="149">
        <f t="shared" si="18"/>
        <v>100</v>
      </c>
      <c r="GP29" s="149">
        <f t="shared" si="19"/>
        <v>100</v>
      </c>
      <c r="GQ29" s="149" t="e">
        <f t="shared" si="19"/>
        <v>#VALUE!</v>
      </c>
      <c r="GR29" s="153">
        <f>+IF(DG29="Suma",SUM(GL29:GP29),AVERAGEIF(GL29:GP29,"&lt;&gt;0"))</f>
        <v>100</v>
      </c>
      <c r="GS29" s="149">
        <f t="shared" si="37"/>
        <v>100</v>
      </c>
      <c r="GT29" s="149">
        <f>+IF(OR($A29=52,$A29=124),1,IFERROR(IF($X29="Creciente",IF($AB29="Número",SUM($GL29:GM29)/SUM($DO29:DP29)*($AX29-$AW29),SUM($GL29:GM29)/SUM($DO29:DP29))*($AX29-$AW29),IF($DG29="Creciente",GM29*GM29/GM29,IF(AND($DG29="Constante",$AB29="Porcentaje"),AVERAGEIF($GL29:GM29,"&lt;&gt;0")/AVERAGEIF($DO29:DP29,"&lt;&gt;0")*100,SUM($GL29:GM29)/SUM($DO29:DP29)*$DU29))),GS29))</f>
        <v>100</v>
      </c>
      <c r="GU29" s="149">
        <f>+IF(OR($A29=52,$A29=124),1,IFERROR(IF($X29="Creciente",IF($AB29="Número",SUM($GL29:GN29)/SUM($DO29:DQ29)*($AX29-$AW29),SUM($GL29:GN29)/SUM($DO29:DQ29))*($AX29-$AW29),IF($DG29="Creciente",GN29*GN29/GN29,IF(AND($DG29="Constante",$AB29="Porcentaje"),AVERAGEIF($GL29:GN29,"&lt;&gt;0")/AVERAGEIF($DO29:DQ29,"&lt;&gt;0")*100,SUM($GL29:GN29)/SUM($DO29:DQ29)*$DU29))),GT29))</f>
        <v>100</v>
      </c>
      <c r="GV29" s="149">
        <f>+IF(OR($A29=52,$A29=124),1,IFERROR(IF($X29="Creciente",IF($AB29="Número",SUM($GL29:GO29)/SUM($DO29:DR29)*($AX29-$AW29),SUM($GL29:GO29)/SUM($DO29:DR29))*($AX29-$AW29),IF($DG29="Creciente",GO29*GO29/GO29,IF(AND($DG29="Constante",$AB29="Porcentaje"),AVERAGEIF($GL29:GO29,"&lt;&gt;0")/AVERAGEIF($DO29:DR29,"&lt;&gt;0")*100,SUM($GL29:GO29)/SUM($DO29:DR29)*$DU29))),GU29))</f>
        <v>100</v>
      </c>
      <c r="GW29" s="149">
        <f>+IF(OR($A29=52,$A29=124),1,IFERROR(IF($X29="Creciente",IF($AB29="Número",SUM($GL29:GP29)/SUM($DO29:DS29)*($AX29-$AW29),SUM($GL29:GP29)/SUM($DO29:DS29))*($AX29-$AW29),IF($DG29="Creciente",GP29*GP29/GP29,IF(AND($DG29="Constante",$AB29="Porcentaje"),AVERAGEIF($GL29:GP29,"&lt;&gt;0")/AVERAGEIF($DO29:DS29,"&lt;&gt;0")*100,SUM($GL29:GP29)/SUM($DO29:DS29)*$DU29))),GV29))</f>
        <v>100</v>
      </c>
      <c r="GX29" s="149">
        <f>+IF(OR($A29=52,$A29=124),1,IFERROR(IF($X29="Creciente",IF($AB29="Número",SUM($GL29:GQ29)/SUM($DO29:DT29)*($AX29-$AW29),SUM($GL29:GQ29)/SUM($DO29:DT29))*($AX29-$AW29),IF($DG29="Creciente",GQ29*GQ29/GQ29,IF(AND($DG29="Constante",$AB29="Porcentaje"),AVERAGEIF($GL29:GQ29,"&lt;&gt;0")/AVERAGEIF($DO29:DT29,"&lt;&gt;0")*100,SUM($GL29:GQ29)/SUM($DO29:DT29)*$DU29))),GW29))</f>
        <v>100</v>
      </c>
      <c r="GY29" s="149" t="str">
        <f t="shared" si="28"/>
        <v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v>
      </c>
      <c r="GZ29" s="149" t="str">
        <f t="shared" si="29"/>
        <v>Corresponde a las entidades que solicitan medias de acreditación (usuarios y contraseñas) para acceder al sistema VIVANTO desarrollado por la AURIV</v>
      </c>
      <c r="HA29" s="149" t="str">
        <f t="shared" si="30"/>
        <v>Permite el acceso a información consolidada de los diferentes sistemas de las entidades del SNARIV y  los marcos normativos que conforman el RUV (SIPOD, SIV, SIRAV y LEY 1448 de 2011), con las restricciones de seguridad y confidencialidad de la información.</v>
      </c>
      <c r="HB29" s="149" t="str">
        <f t="shared" si="31"/>
        <v>Sistema de Información a Victimas - SIVIC- / Sistema de Información de Oferta -SIGO-</v>
      </c>
      <c r="HC29" s="149" t="str">
        <f t="shared" si="72"/>
        <v>Cumple</v>
      </c>
      <c r="HD29" s="149" t="str">
        <f t="shared" si="72"/>
        <v>Cumplido</v>
      </c>
      <c r="HE29" s="149" t="str">
        <f t="shared" si="72"/>
        <v>Adecuado</v>
      </c>
      <c r="HF29" s="149" t="str">
        <f t="shared" si="72"/>
        <v>Coherente</v>
      </c>
      <c r="HG29" s="149" t="str">
        <f t="shared" si="72"/>
        <v>Concuerda</v>
      </c>
      <c r="HH29" s="149" t="str">
        <f t="shared" si="72"/>
        <v>Concuerda</v>
      </c>
      <c r="HI29" s="149">
        <f t="shared" si="72"/>
        <v>0</v>
      </c>
      <c r="HJ29" s="149" t="str">
        <f t="shared" si="72"/>
        <v>Adecuado</v>
      </c>
      <c r="HK29" s="149" t="str">
        <f t="shared" si="72"/>
        <v>Oportuna</v>
      </c>
      <c r="HL29" s="149" t="str">
        <f t="shared" si="72"/>
        <v>Ninguna</v>
      </c>
      <c r="HM29" s="149" t="str">
        <f t="shared" si="73"/>
        <v>Marcela Andrea García Guerrero</v>
      </c>
      <c r="HN29" s="149" t="str">
        <f t="shared" si="73"/>
        <v>No aplica</v>
      </c>
      <c r="HO29" s="149" t="str">
        <f t="shared" si="73"/>
        <v>No aplica</v>
      </c>
      <c r="HP29" s="149" t="str">
        <f t="shared" si="73"/>
        <v>No aplica</v>
      </c>
      <c r="HQ29" s="149" t="str">
        <f t="shared" si="73"/>
        <v>No aplica</v>
      </c>
      <c r="HR29" s="149" t="str">
        <f t="shared" si="73"/>
        <v>No aplica</v>
      </c>
      <c r="HS29" s="149" t="str">
        <f t="shared" si="73"/>
        <v>No aplica</v>
      </c>
      <c r="HT29" s="149">
        <f t="shared" si="73"/>
        <v>0</v>
      </c>
      <c r="HU29" s="149" t="str">
        <f t="shared" si="73"/>
        <v>No aplica</v>
      </c>
      <c r="HV29" s="149" t="str">
        <f t="shared" si="73"/>
        <v>No aplica</v>
      </c>
      <c r="HW29" s="149" t="str">
        <f t="shared" si="73"/>
        <v>No aplica</v>
      </c>
      <c r="HX29" s="149">
        <f t="shared" si="73"/>
        <v>0</v>
      </c>
    </row>
    <row r="30" spans="1:241" s="149" customFormat="1" x14ac:dyDescent="0.3">
      <c r="A30" s="145" t="s">
        <v>356</v>
      </c>
      <c r="B30" s="146" t="s">
        <v>1144</v>
      </c>
      <c r="C30" s="146" t="s">
        <v>1144</v>
      </c>
      <c r="D30" s="146" t="s">
        <v>1144</v>
      </c>
      <c r="E30" s="146" t="s">
        <v>1144</v>
      </c>
      <c r="F30" s="136" t="s">
        <v>1392</v>
      </c>
      <c r="G30" s="146" t="s">
        <v>1144</v>
      </c>
      <c r="H30" s="146" t="s">
        <v>1144</v>
      </c>
      <c r="I30" s="149" t="s">
        <v>1146</v>
      </c>
      <c r="J30" s="154" t="s">
        <v>146</v>
      </c>
      <c r="K30" s="154" t="s">
        <v>147</v>
      </c>
      <c r="L30" s="154" t="s">
        <v>1361</v>
      </c>
      <c r="M30" s="154" t="s">
        <v>1147</v>
      </c>
      <c r="N30" s="154" t="s">
        <v>1305</v>
      </c>
      <c r="O30" s="154" t="s">
        <v>1362</v>
      </c>
      <c r="P30" s="148" t="s">
        <v>1392</v>
      </c>
      <c r="Q30" s="154" t="s">
        <v>1393</v>
      </c>
      <c r="R30" s="154" t="s">
        <v>1394</v>
      </c>
      <c r="S30" s="154" t="s">
        <v>1395</v>
      </c>
      <c r="T30" s="154" t="s">
        <v>1396</v>
      </c>
      <c r="U30" s="154" t="s">
        <v>1397</v>
      </c>
      <c r="V30" s="154" t="s">
        <v>1398</v>
      </c>
      <c r="W30" s="148" t="s">
        <v>601</v>
      </c>
      <c r="X30" s="154" t="s">
        <v>601</v>
      </c>
      <c r="Y30" s="166"/>
      <c r="Z30" s="154" t="s">
        <v>1399</v>
      </c>
      <c r="AA30" s="154" t="s">
        <v>1400</v>
      </c>
      <c r="AB30" s="154" t="s">
        <v>602</v>
      </c>
      <c r="AC30" s="154" t="s">
        <v>1293</v>
      </c>
      <c r="AD30" s="154" t="s">
        <v>1031</v>
      </c>
      <c r="AE30" s="154">
        <v>2019</v>
      </c>
      <c r="AF30" s="154">
        <v>0.56000000000000005</v>
      </c>
      <c r="AG30" s="154">
        <v>2018</v>
      </c>
      <c r="AH30" s="154" t="s">
        <v>1161</v>
      </c>
      <c r="AI30" s="154" t="s">
        <v>1161</v>
      </c>
      <c r="AJ30" s="154">
        <v>1</v>
      </c>
      <c r="AK30" s="154">
        <v>1</v>
      </c>
      <c r="AL30" s="218">
        <v>1</v>
      </c>
      <c r="AM30" s="154">
        <v>1</v>
      </c>
      <c r="AN30" s="146" t="s">
        <v>1144</v>
      </c>
      <c r="AO30" s="146" t="s">
        <v>1144</v>
      </c>
      <c r="AP30" s="146" t="s">
        <v>1144</v>
      </c>
      <c r="AQ30" s="146" t="s">
        <v>1144</v>
      </c>
      <c r="AR30" s="146" t="s">
        <v>1144</v>
      </c>
      <c r="AS30" s="150" t="s">
        <v>1144</v>
      </c>
      <c r="AT30" s="232" t="s">
        <v>1161</v>
      </c>
      <c r="AU30" s="232" t="s">
        <v>1161</v>
      </c>
      <c r="AV30" s="232">
        <v>100</v>
      </c>
      <c r="AW30" s="232">
        <v>100</v>
      </c>
      <c r="AX30" s="232">
        <v>100</v>
      </c>
      <c r="AY30" s="232">
        <v>100</v>
      </c>
      <c r="BD30" s="149">
        <v>0</v>
      </c>
      <c r="BJ30" s="149">
        <v>0</v>
      </c>
      <c r="BK30" s="146" t="s">
        <v>1144</v>
      </c>
      <c r="BL30" s="146" t="s">
        <v>1144</v>
      </c>
      <c r="BM30" s="146" t="s">
        <v>1144</v>
      </c>
      <c r="BN30" s="146" t="s">
        <v>1144</v>
      </c>
      <c r="BO30" s="146" t="s">
        <v>1144</v>
      </c>
      <c r="BP30" s="146" t="s">
        <v>1144</v>
      </c>
      <c r="BQ30" s="146" t="s">
        <v>1144</v>
      </c>
      <c r="BR30" s="146" t="s">
        <v>1144</v>
      </c>
      <c r="BS30" s="146" t="s">
        <v>1144</v>
      </c>
      <c r="BT30" s="146" t="s">
        <v>1144</v>
      </c>
      <c r="BU30" s="146" t="s">
        <v>1144</v>
      </c>
      <c r="BV30" s="146" t="s">
        <v>1144</v>
      </c>
      <c r="BW30" s="154" t="s">
        <v>1144</v>
      </c>
      <c r="BX30" s="154" t="s">
        <v>1144</v>
      </c>
      <c r="BY30" s="154" t="s">
        <v>1144</v>
      </c>
      <c r="BZ30" s="154">
        <v>1</v>
      </c>
      <c r="CA30" s="154" t="s">
        <v>1144</v>
      </c>
      <c r="CB30" s="154" t="s">
        <v>1144</v>
      </c>
      <c r="CC30" s="154" t="s">
        <v>1144</v>
      </c>
      <c r="CD30" s="219">
        <v>1</v>
      </c>
      <c r="CE30" s="219" t="s">
        <v>251</v>
      </c>
      <c r="CF30" s="154" t="s">
        <v>1144</v>
      </c>
      <c r="CG30" s="154" t="s">
        <v>1144</v>
      </c>
      <c r="CH30" s="154" t="s">
        <v>1144</v>
      </c>
      <c r="CI30" s="154" t="s">
        <v>1144</v>
      </c>
      <c r="CJ30" s="154" t="s">
        <v>1144</v>
      </c>
      <c r="CK30" s="154" t="s">
        <v>1144</v>
      </c>
      <c r="CL30" s="154" t="s">
        <v>1144</v>
      </c>
      <c r="CM30" s="154" t="s">
        <v>1144</v>
      </c>
      <c r="CN30" s="154" t="s">
        <v>1144</v>
      </c>
      <c r="CO30" s="154" t="s">
        <v>1144</v>
      </c>
      <c r="CP30" s="154" t="s">
        <v>1144</v>
      </c>
      <c r="CQ30" s="154" t="s">
        <v>1144</v>
      </c>
      <c r="CR30" s="154" t="s">
        <v>1144</v>
      </c>
      <c r="CS30" s="154" t="s">
        <v>1144</v>
      </c>
      <c r="CT30" s="154" t="s">
        <v>1144</v>
      </c>
      <c r="CU30" s="154" t="s">
        <v>1144</v>
      </c>
      <c r="CV30" s="154" t="s">
        <v>1144</v>
      </c>
      <c r="CW30" s="154" t="s">
        <v>1401</v>
      </c>
      <c r="CX30" s="154" t="s">
        <v>1144</v>
      </c>
      <c r="CY30" s="154" t="s">
        <v>1144</v>
      </c>
      <c r="CZ30" s="154" t="s">
        <v>1144</v>
      </c>
      <c r="DA30" s="154" t="s">
        <v>1144</v>
      </c>
      <c r="DB30" s="152" t="str">
        <f t="shared" si="32"/>
        <v xml:space="preserve">Plan de Acción, SGC, PROCESO: Asistencia, atención y reparación integral a víctimas del conflicto armado e implementación de acciones de memoria, paz y reconciliación en Bogotá, 01_CONPES 1.2.4, </v>
      </c>
      <c r="DC30" s="149" t="str">
        <f t="shared" si="75"/>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
      <c r="DD30" s="149" t="str">
        <f t="shared" si="75"/>
        <v>Corresponde a las solicitudes de servicio tecnico, que ocasional las fallas o errores del Sistema SIGO que administra la oferta distrital de servicios.</v>
      </c>
      <c r="DE30" s="149" t="str">
        <f t="shared" si="75"/>
        <v>Este proceso representa para los ciudadanos acceso condensado a la oferta de servicios que ofrece el Distrito Capital. Y para las entidades distritales representa la articulación e interoperatividad institucional (sinergia de procesos).</v>
      </c>
      <c r="DF30" s="149" t="str">
        <f t="shared" si="75"/>
        <v>Sistema de Gestión de Oferta  - SIGO</v>
      </c>
      <c r="DG30" s="149" t="str">
        <f t="shared" si="75"/>
        <v>Constante</v>
      </c>
      <c r="DH30" s="149" t="str">
        <f t="shared" si="2"/>
        <v/>
      </c>
      <c r="DI30" s="149">
        <f t="shared" si="3"/>
        <v>100</v>
      </c>
      <c r="DJ30" s="149">
        <f t="shared" si="4"/>
        <v>100</v>
      </c>
      <c r="DK30" s="149">
        <f t="shared" si="5"/>
        <v>100</v>
      </c>
      <c r="DL30" s="149">
        <f t="shared" si="6"/>
        <v>100</v>
      </c>
      <c r="DM30" s="149">
        <f t="shared" si="7"/>
        <v>100</v>
      </c>
      <c r="DN30" s="149">
        <f t="shared" si="36"/>
        <v>0</v>
      </c>
      <c r="DO30" s="149">
        <f t="shared" si="74"/>
        <v>100</v>
      </c>
      <c r="DP30" s="149">
        <f t="shared" si="74"/>
        <v>100</v>
      </c>
      <c r="DQ30" s="149">
        <f t="shared" si="74"/>
        <v>100</v>
      </c>
      <c r="DR30" s="149">
        <f t="shared" si="74"/>
        <v>100</v>
      </c>
      <c r="DS30" s="149">
        <f t="shared" si="74"/>
        <v>100</v>
      </c>
      <c r="DT30" s="149">
        <f>IF(OR(A30="174A",A30="174B",A30="174C",A30="174D",A30="174E"),0,IF(AND($X30="Constante",$DG30="Constante"),$DU30,IF(AND($AB30="Porcentaje",$X30="Creciente",$DG30="Suma",$AW30&lt;&gt;"No Disponible / No Aplica",IFERROR($AX30-$AW30,0)&gt;0),VLOOKUP($A30,consolidado,MATCH(DT$5,consolidadofila,0),0)/$DH30*$AX30*($AX30-$AW30)/$AX30,IF(AND($AB30="Porcentaje",$X30="Creciente",,$AW30&lt;&gt;"No Disponible / No Aplica",IFERROR($AX30-$AW30,0)&gt;0,OR($DG30="Constante",$DG30="Creciente")),VLOOKUP($A30,consolidado,MATCH(DT$5,consolidadofila,0),0)*($AX30-$AW30)/$AX30,IF(AND($AB30="Número",$X30="Creciente"),VLOOKUP($A30,consolidado,MATCH(DT$5,consolidadofila,0),0),IF(AND($AB30="Porcentaje",$DG30="Suma"),VLOOKUP($A30,consolidado,MATCH(DT$5,consolidadofila,0),0)/$DH30*$AX30,IF(AND($AB30="Porcentaje",OR($DG30="Constante",$DG30="Creciente")),VLOOKUP($A30,consolidado,MATCH(DT$5,consolidadofila,0),0),IF($AB30="Número",VLOOKUP($A30,consolidado,MATCH(DT$5,consolidadofila,0),0)))))))))</f>
        <v>0</v>
      </c>
      <c r="DU30" s="149">
        <f t="shared" si="76"/>
        <v>100</v>
      </c>
      <c r="DV30" s="149">
        <f t="shared" si="76"/>
        <v>0</v>
      </c>
      <c r="DW30" s="149">
        <f t="shared" si="76"/>
        <v>0</v>
      </c>
      <c r="DX30" s="149" t="str">
        <f t="shared" si="76"/>
        <v>No se presenta solicitudes por parte de las entidades  Distritales.</v>
      </c>
      <c r="DY30" s="149" t="str">
        <f t="shared" si="76"/>
        <v>No se presenta retraso dado que este acompañamiento es realizado a demanda de las entidades.</v>
      </c>
      <c r="DZ30" s="149" t="str">
        <f t="shared" si="76"/>
        <v>NA</v>
      </c>
      <c r="EA30" s="149">
        <f t="shared" si="76"/>
        <v>0</v>
      </c>
      <c r="EB30" s="149">
        <f t="shared" si="76"/>
        <v>0</v>
      </c>
      <c r="EC30" s="149" t="str">
        <f t="shared" si="76"/>
        <v>No se presenta solicitudes por parte de las entidades  Distritales.</v>
      </c>
      <c r="ED30" s="149" t="str">
        <f t="shared" si="76"/>
        <v>No se presenta retraso dado que este acompañamiento es realizado a demanda de las entidades.</v>
      </c>
      <c r="EE30" s="149" t="str">
        <f t="shared" si="77"/>
        <v>NA</v>
      </c>
      <c r="EF30" s="149">
        <f t="shared" si="77"/>
        <v>0</v>
      </c>
      <c r="EG30" s="149">
        <f t="shared" si="77"/>
        <v>0</v>
      </c>
      <c r="EH30" s="149" t="str">
        <f t="shared" si="77"/>
        <v>No se presenta solicitudes por parte de las entidades  Distritales.</v>
      </c>
      <c r="EI30" s="149" t="str">
        <f t="shared" si="77"/>
        <v>No se presenta retraso dado que este acompañamiento es realizado a demanda de las entidades.</v>
      </c>
      <c r="EJ30" s="149" t="str">
        <f t="shared" si="77"/>
        <v>NA</v>
      </c>
      <c r="EK30" s="149">
        <f t="shared" si="77"/>
        <v>0</v>
      </c>
      <c r="EL30" s="149">
        <f t="shared" si="77"/>
        <v>0</v>
      </c>
      <c r="EM30" s="149" t="str">
        <f t="shared" si="77"/>
        <v>No se presenta solicitudes por parte de las entidades  Distritales.</v>
      </c>
      <c r="EN30" s="149" t="str">
        <f t="shared" si="77"/>
        <v>No se presenta retraso dado que este acompañamiento es realizado a demanda de las entidades.</v>
      </c>
      <c r="EO30" s="149" t="str">
        <f t="shared" si="78"/>
        <v>NA</v>
      </c>
      <c r="EP30" s="149">
        <f t="shared" si="78"/>
        <v>0</v>
      </c>
      <c r="EQ30" s="149">
        <f t="shared" si="78"/>
        <v>0</v>
      </c>
      <c r="ER30" s="149" t="str">
        <f t="shared" si="78"/>
        <v>No se presenta solicitudes por parte de las entidades  Distritales.</v>
      </c>
      <c r="ES30" s="149" t="str">
        <f t="shared" si="78"/>
        <v>No se presenta retraso dado que este acompañamiento es realizado a demanda de las entidades.</v>
      </c>
      <c r="ET30" s="149" t="str">
        <f t="shared" si="78"/>
        <v>NA</v>
      </c>
      <c r="EU30" s="149" t="str">
        <f t="shared" si="44"/>
        <v/>
      </c>
      <c r="EV30" s="149" t="str">
        <f t="shared" si="44"/>
        <v/>
      </c>
      <c r="EW30" s="149" t="str">
        <f t="shared" si="44"/>
        <v/>
      </c>
      <c r="EX30" s="149" t="str">
        <f t="shared" si="44"/>
        <v/>
      </c>
      <c r="EY30" s="149" t="str">
        <f t="shared" si="44"/>
        <v/>
      </c>
      <c r="EZ30" s="149">
        <f t="shared" si="78"/>
        <v>0</v>
      </c>
      <c r="FA30" s="149">
        <f t="shared" si="78"/>
        <v>0</v>
      </c>
      <c r="FB30" s="149" t="str">
        <f t="shared" si="78"/>
        <v/>
      </c>
      <c r="FC30" s="149" t="str">
        <f t="shared" si="78"/>
        <v/>
      </c>
      <c r="FD30" s="149" t="str">
        <f t="shared" si="79"/>
        <v/>
      </c>
      <c r="FE30" s="149" t="str">
        <f t="shared" si="79"/>
        <v/>
      </c>
      <c r="FF30" s="149" t="str">
        <f t="shared" si="79"/>
        <v/>
      </c>
      <c r="FG30" s="149" t="str">
        <f t="shared" si="79"/>
        <v/>
      </c>
      <c r="FH30" s="149" t="str">
        <f t="shared" si="79"/>
        <v/>
      </c>
      <c r="FI30" s="149" t="str">
        <f t="shared" si="79"/>
        <v/>
      </c>
      <c r="FJ30" s="149" t="str">
        <f t="shared" si="79"/>
        <v/>
      </c>
      <c r="FK30" s="149" t="str">
        <f t="shared" si="79"/>
        <v/>
      </c>
      <c r="FL30" s="149" t="str">
        <f t="shared" si="79"/>
        <v/>
      </c>
      <c r="FM30" s="149" t="str">
        <f t="shared" si="79"/>
        <v/>
      </c>
      <c r="FN30" s="149" t="str">
        <f t="shared" si="80"/>
        <v/>
      </c>
      <c r="FO30" s="149" t="str">
        <f t="shared" si="80"/>
        <v/>
      </c>
      <c r="FP30" s="149" t="str">
        <f t="shared" si="80"/>
        <v/>
      </c>
      <c r="FQ30" s="149" t="str">
        <f t="shared" si="80"/>
        <v/>
      </c>
      <c r="FR30" s="149" t="str">
        <f t="shared" si="80"/>
        <v/>
      </c>
      <c r="FS30" s="149" t="str">
        <f t="shared" si="80"/>
        <v/>
      </c>
      <c r="FT30" s="149" t="str">
        <f t="shared" si="80"/>
        <v/>
      </c>
      <c r="FU30" s="149" t="str">
        <f t="shared" si="80"/>
        <v/>
      </c>
      <c r="FV30" s="149" t="str">
        <f t="shared" si="80"/>
        <v/>
      </c>
      <c r="FW30" s="149" t="str">
        <f t="shared" si="80"/>
        <v/>
      </c>
      <c r="FX30" s="149" t="str">
        <f t="shared" si="81"/>
        <v/>
      </c>
      <c r="FY30" s="149" t="str">
        <f t="shared" si="81"/>
        <v/>
      </c>
      <c r="FZ30" s="149" t="str">
        <f t="shared" si="81"/>
        <v/>
      </c>
      <c r="GA30" s="149" t="str">
        <f t="shared" si="81"/>
        <v/>
      </c>
      <c r="GB30" s="149" t="str">
        <f t="shared" si="81"/>
        <v/>
      </c>
      <c r="GC30" s="149" t="str">
        <f t="shared" si="81"/>
        <v/>
      </c>
      <c r="GD30" s="149" t="str">
        <f t="shared" si="81"/>
        <v/>
      </c>
      <c r="GE30" s="149" t="str">
        <f t="shared" si="81"/>
        <v/>
      </c>
      <c r="GF30" s="149">
        <f t="shared" si="33"/>
        <v>0</v>
      </c>
      <c r="GG30" s="149">
        <f t="shared" si="22"/>
        <v>0</v>
      </c>
      <c r="GH30" s="149">
        <f t="shared" si="23"/>
        <v>0</v>
      </c>
      <c r="GI30" s="149">
        <f t="shared" si="24"/>
        <v>0</v>
      </c>
      <c r="GJ30" s="149">
        <f t="shared" si="25"/>
        <v>0</v>
      </c>
      <c r="GK30" s="149">
        <f t="shared" si="34"/>
        <v>0</v>
      </c>
      <c r="GL30" s="149">
        <f t="shared" si="15"/>
        <v>0</v>
      </c>
      <c r="GM30" s="149">
        <f t="shared" si="16"/>
        <v>0</v>
      </c>
      <c r="GN30" s="149">
        <f t="shared" si="17"/>
        <v>0</v>
      </c>
      <c r="GO30" s="149">
        <f t="shared" si="18"/>
        <v>0</v>
      </c>
      <c r="GP30" s="149">
        <f t="shared" si="19"/>
        <v>0</v>
      </c>
      <c r="GQ30" s="149" t="e">
        <f t="shared" si="19"/>
        <v>#VALUE!</v>
      </c>
      <c r="GR30" s="153" t="str">
        <f>IFERROR(IF(DG30="Suma",SUM(GL30:GP30),AVERAGEIF(GL30:GP30,"&lt;&gt;0")),"")</f>
        <v/>
      </c>
      <c r="GS30" s="149" t="str">
        <f t="shared" si="37"/>
        <v>No Programó</v>
      </c>
      <c r="GT30" s="149" t="str">
        <f>+IF(OR($A30=52,$A30=124),1,IFERROR(IF($X30="Creciente",IF($AB30="Número",SUM($GL30:GM30)/SUM($DO30:DP30)*($AX30-$AW30),SUM($GL30:GM30)/SUM($DO30:DP30))*($AX30-$AW30),IF($DG30="Creciente",GM30*GM30/GM30,IF(AND($DG30="Constante",$AB30="Porcentaje"),AVERAGEIF($GL30:GM30,"&lt;&gt;0")/AVERAGEIF($DO30:DP30,"&lt;&gt;0")*100,SUM($GL30:GM30)/SUM($DO30:DP30)*$DU30))),GS30))</f>
        <v>No Programó</v>
      </c>
      <c r="GU30" s="149" t="str">
        <f>+IF(OR($A30=52,$A30=124),1,IFERROR(IF($X30="Creciente",IF($AB30="Número",SUM($GL30:GN30)/SUM($DO30:DQ30)*($AX30-$AW30),SUM($GL30:GN30)/SUM($DO30:DQ30))*($AX30-$AW30),IF($DG30="Creciente",GN30*GN30/GN30,IF(AND($DG30="Constante",$AB30="Porcentaje"),AVERAGEIF($GL30:GN30,"&lt;&gt;0")/AVERAGEIF($DO30:DQ30,"&lt;&gt;0")*100,SUM($GL30:GN30)/SUM($DO30:DQ30)*$DU30))),GT30))</f>
        <v>No Programó</v>
      </c>
      <c r="GV30" s="149" t="str">
        <f>+IF(OR($A30=52,$A30=124),1,IFERROR(IF($X30="Creciente",IF($AB30="Número",SUM($GL30:GO30)/SUM($DO30:DR30)*($AX30-$AW30),SUM($GL30:GO30)/SUM($DO30:DR30))*($AX30-$AW30),IF($DG30="Creciente",GO30*GO30/GO30,IF(AND($DG30="Constante",$AB30="Porcentaje"),AVERAGEIF($GL30:GO30,"&lt;&gt;0")/AVERAGEIF($DO30:DR30,"&lt;&gt;0")*100,SUM($GL30:GO30)/SUM($DO30:DR30)*$DU30))),GU30))</f>
        <v>No Programó</v>
      </c>
      <c r="GW30" s="149" t="str">
        <f>+IF(OR($A30=52,$A30=124),1,IFERROR(IF($X30="Creciente",IF($AB30="Número",SUM($GL30:GP30)/SUM($DO30:DS30)*($AX30-$AW30),SUM($GL30:GP30)/SUM($DO30:DS30))*($AX30-$AW30),IF($DG30="Creciente",GP30*GP30/GP30,IF(AND($DG30="Constante",$AB30="Porcentaje"),AVERAGEIF($GL30:GP30,"&lt;&gt;0")/AVERAGEIF($DO30:DS30,"&lt;&gt;0")*100,SUM($GL30:GP30)/SUM($DO30:DS30)*$DU30))),GV30))</f>
        <v>No Programó</v>
      </c>
      <c r="GX30" s="149" t="str">
        <f>+IF(OR($A30=52,$A30=124),1,IFERROR(IF($X30="Creciente",IF($AB30="Número",SUM($GL30:GQ30)/SUM($DO30:DT30)*($AX30-$AW30),SUM($GL30:GQ30)/SUM($DO30:DT30))*($AX30-$AW30),IF($DG30="Creciente",GQ30*GQ30/GQ30,IF(AND($DG30="Constante",$AB30="Porcentaje"),AVERAGEIF($GL30:GQ30,"&lt;&gt;0")/AVERAGEIF($DO30:DT30,"&lt;&gt;0")*100,SUM($GL30:GQ30)/SUM($DO30:DT30)*$DU30))),GW30))</f>
        <v>No Programó</v>
      </c>
      <c r="GY30" s="149" t="str">
        <f t="shared" si="28"/>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
      <c r="GZ30" s="149" t="str">
        <f t="shared" si="29"/>
        <v>Corresponde a las solicitudes de servicio tecnico, que ocasional las fallas o errores del Sistema SIGO que administra la oferta distrital de servicios.</v>
      </c>
      <c r="HA30" s="149" t="str">
        <f t="shared" si="30"/>
        <v>Este proceso representa para los ciudadanos acceso condensado a la oferta de servicios que ofrece el Distrito Capital. Y para las entidades distritales representa la articulación e interoperatividad institucional (sinergia de procesos).</v>
      </c>
      <c r="HB30" s="149" t="str">
        <f t="shared" si="31"/>
        <v>Sistema de Gestión de Oferta  - SIGO</v>
      </c>
      <c r="HC30" s="149" t="str">
        <f t="shared" si="72"/>
        <v>No aplica</v>
      </c>
      <c r="HD30" s="149" t="str">
        <f t="shared" si="72"/>
        <v>Cumplido</v>
      </c>
      <c r="HE30" s="149" t="str">
        <f t="shared" si="72"/>
        <v>No aplica</v>
      </c>
      <c r="HF30" s="149" t="str">
        <f t="shared" si="72"/>
        <v>Coherente</v>
      </c>
      <c r="HG30" s="149" t="str">
        <f t="shared" si="72"/>
        <v>Concuerda</v>
      </c>
      <c r="HH30" s="149" t="str">
        <f t="shared" si="72"/>
        <v>Concuerda</v>
      </c>
      <c r="HI30" s="149">
        <f t="shared" si="72"/>
        <v>0</v>
      </c>
      <c r="HJ30" s="149" t="str">
        <f t="shared" si="72"/>
        <v>No aplica</v>
      </c>
      <c r="HK30" s="149" t="str">
        <f t="shared" si="72"/>
        <v>Oportuna</v>
      </c>
      <c r="HL30" s="149" t="str">
        <f t="shared" si="72"/>
        <v>Ninguna</v>
      </c>
      <c r="HM30" s="149" t="str">
        <f t="shared" si="73"/>
        <v>Marcela Andrea García Guerrero</v>
      </c>
      <c r="HN30" s="149" t="str">
        <f t="shared" si="73"/>
        <v>No aplica</v>
      </c>
      <c r="HO30" s="149" t="str">
        <f t="shared" si="73"/>
        <v>No aplica</v>
      </c>
      <c r="HP30" s="149" t="str">
        <f t="shared" si="73"/>
        <v>No aplica</v>
      </c>
      <c r="HQ30" s="149" t="str">
        <f t="shared" si="73"/>
        <v>No aplica</v>
      </c>
      <c r="HR30" s="149" t="str">
        <f t="shared" si="73"/>
        <v>No aplica</v>
      </c>
      <c r="HS30" s="149" t="str">
        <f t="shared" si="73"/>
        <v>No aplica</v>
      </c>
      <c r="HT30" s="149">
        <f t="shared" si="73"/>
        <v>0</v>
      </c>
      <c r="HU30" s="149" t="str">
        <f t="shared" si="73"/>
        <v>No aplica</v>
      </c>
      <c r="HV30" s="149" t="str">
        <f t="shared" si="73"/>
        <v>No aplica</v>
      </c>
      <c r="HW30" s="149" t="str">
        <f t="shared" si="73"/>
        <v>No aplica</v>
      </c>
      <c r="HX30" s="149">
        <f t="shared" si="73"/>
        <v>0</v>
      </c>
    </row>
    <row r="31" spans="1:241" s="149" customFormat="1" x14ac:dyDescent="0.3">
      <c r="A31" s="145" t="s">
        <v>357</v>
      </c>
      <c r="B31" s="146" t="s">
        <v>1144</v>
      </c>
      <c r="C31" s="146" t="s">
        <v>1144</v>
      </c>
      <c r="D31" s="146" t="s">
        <v>1144</v>
      </c>
      <c r="E31" s="146" t="s">
        <v>1144</v>
      </c>
      <c r="F31" s="136" t="s">
        <v>1402</v>
      </c>
      <c r="G31" s="146" t="s">
        <v>1144</v>
      </c>
      <c r="H31" s="146" t="s">
        <v>1144</v>
      </c>
      <c r="I31" s="149" t="s">
        <v>1146</v>
      </c>
      <c r="J31" s="154" t="s">
        <v>146</v>
      </c>
      <c r="K31" s="154" t="s">
        <v>147</v>
      </c>
      <c r="L31" s="154" t="s">
        <v>1361</v>
      </c>
      <c r="M31" s="154" t="s">
        <v>1147</v>
      </c>
      <c r="N31" s="154" t="s">
        <v>1305</v>
      </c>
      <c r="O31" s="154" t="s">
        <v>1362</v>
      </c>
      <c r="P31" s="148" t="s">
        <v>1402</v>
      </c>
      <c r="Q31" s="154" t="s">
        <v>1403</v>
      </c>
      <c r="R31" s="154" t="s">
        <v>1404</v>
      </c>
      <c r="S31" s="154" t="s">
        <v>1405</v>
      </c>
      <c r="T31" s="154" t="s">
        <v>1406</v>
      </c>
      <c r="U31" s="154" t="s">
        <v>1407</v>
      </c>
      <c r="V31" s="154" t="s">
        <v>1403</v>
      </c>
      <c r="W31" s="148" t="s">
        <v>601</v>
      </c>
      <c r="X31" s="154" t="s">
        <v>601</v>
      </c>
      <c r="Y31" s="166"/>
      <c r="Z31" s="154" t="s">
        <v>1408</v>
      </c>
      <c r="AA31" s="154" t="s">
        <v>1409</v>
      </c>
      <c r="AB31" s="154" t="s">
        <v>602</v>
      </c>
      <c r="AC31" s="154" t="s">
        <v>1293</v>
      </c>
      <c r="AD31" s="154" t="s">
        <v>1031</v>
      </c>
      <c r="AE31" s="154">
        <v>2018</v>
      </c>
      <c r="AF31" s="154">
        <v>1</v>
      </c>
      <c r="AG31" s="154">
        <v>2017</v>
      </c>
      <c r="AH31" s="154" t="s">
        <v>1161</v>
      </c>
      <c r="AI31" s="154" t="s">
        <v>1161</v>
      </c>
      <c r="AJ31" s="154">
        <v>1</v>
      </c>
      <c r="AK31" s="154">
        <v>1</v>
      </c>
      <c r="AL31" s="218">
        <v>1</v>
      </c>
      <c r="AM31" s="154">
        <v>1</v>
      </c>
      <c r="AN31" s="146" t="s">
        <v>1144</v>
      </c>
      <c r="AO31" s="146" t="s">
        <v>1144</v>
      </c>
      <c r="AP31" s="146" t="s">
        <v>1144</v>
      </c>
      <c r="AQ31" s="146" t="s">
        <v>1144</v>
      </c>
      <c r="AR31" s="146" t="s">
        <v>1144</v>
      </c>
      <c r="AS31" s="150" t="s">
        <v>1144</v>
      </c>
      <c r="AT31" s="232" t="s">
        <v>1161</v>
      </c>
      <c r="AU31" s="232" t="s">
        <v>1161</v>
      </c>
      <c r="AV31" s="232">
        <v>100</v>
      </c>
      <c r="AW31" s="232">
        <v>100</v>
      </c>
      <c r="AX31" s="232">
        <v>100</v>
      </c>
      <c r="AY31" s="232">
        <v>100</v>
      </c>
      <c r="BD31" s="149">
        <v>0</v>
      </c>
      <c r="BJ31" s="149">
        <v>0</v>
      </c>
      <c r="BK31" s="146" t="s">
        <v>1144</v>
      </c>
      <c r="BL31" s="146" t="s">
        <v>1144</v>
      </c>
      <c r="BM31" s="146" t="s">
        <v>1144</v>
      </c>
      <c r="BN31" s="146" t="s">
        <v>1144</v>
      </c>
      <c r="BO31" s="146" t="s">
        <v>1144</v>
      </c>
      <c r="BP31" s="146" t="s">
        <v>1144</v>
      </c>
      <c r="BQ31" s="146" t="s">
        <v>1144</v>
      </c>
      <c r="BR31" s="146" t="s">
        <v>1144</v>
      </c>
      <c r="BS31" s="146" t="s">
        <v>1144</v>
      </c>
      <c r="BT31" s="146" t="s">
        <v>1144</v>
      </c>
      <c r="BU31" s="146" t="s">
        <v>1144</v>
      </c>
      <c r="BV31" s="146" t="s">
        <v>1144</v>
      </c>
      <c r="BW31" s="154" t="s">
        <v>1144</v>
      </c>
      <c r="BX31" s="154" t="s">
        <v>1144</v>
      </c>
      <c r="BY31" s="154" t="s">
        <v>1144</v>
      </c>
      <c r="BZ31" s="154">
        <v>1</v>
      </c>
      <c r="CA31" s="154" t="s">
        <v>1144</v>
      </c>
      <c r="CB31" s="154" t="s">
        <v>1144</v>
      </c>
      <c r="CC31" s="154" t="s">
        <v>1144</v>
      </c>
      <c r="CD31" s="219">
        <v>1</v>
      </c>
      <c r="CE31" s="219" t="s">
        <v>251</v>
      </c>
      <c r="CF31" s="154" t="s">
        <v>1144</v>
      </c>
      <c r="CG31" s="154" t="s">
        <v>1144</v>
      </c>
      <c r="CH31" s="154" t="s">
        <v>1144</v>
      </c>
      <c r="CI31" s="154" t="s">
        <v>1144</v>
      </c>
      <c r="CJ31" s="154" t="s">
        <v>1144</v>
      </c>
      <c r="CK31" s="154" t="s">
        <v>1144</v>
      </c>
      <c r="CL31" s="154" t="s">
        <v>1144</v>
      </c>
      <c r="CM31" s="154" t="s">
        <v>1144</v>
      </c>
      <c r="CN31" s="154" t="s">
        <v>1144</v>
      </c>
      <c r="CO31" s="154" t="s">
        <v>1144</v>
      </c>
      <c r="CP31" s="154" t="s">
        <v>1144</v>
      </c>
      <c r="CQ31" s="154" t="s">
        <v>1144</v>
      </c>
      <c r="CR31" s="154" t="s">
        <v>1144</v>
      </c>
      <c r="CS31" s="154" t="s">
        <v>1144</v>
      </c>
      <c r="CT31" s="154" t="s">
        <v>1144</v>
      </c>
      <c r="CU31" s="154" t="s">
        <v>1144</v>
      </c>
      <c r="CV31" s="154" t="s">
        <v>1144</v>
      </c>
      <c r="CW31" s="154" t="s">
        <v>1410</v>
      </c>
      <c r="CX31" s="154" t="s">
        <v>1144</v>
      </c>
      <c r="CY31" s="154" t="s">
        <v>1144</v>
      </c>
      <c r="CZ31" s="154" t="s">
        <v>1144</v>
      </c>
      <c r="DA31" s="154" t="s">
        <v>1144</v>
      </c>
      <c r="DB31" s="152" t="str">
        <f t="shared" si="32"/>
        <v xml:space="preserve">Plan de Acción, SGC, PROCESO: Asistencia, atención y reparación integral a víctimas del conflicto armado e implementación de acciones de memoria, paz y reconciliación en Bogotá, 01_CONPES 3.2.3., </v>
      </c>
      <c r="DC31" s="149" t="str">
        <f t="shared" si="75"/>
        <v>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v>
      </c>
      <c r="DD31" s="149" t="str">
        <f t="shared" si="75"/>
        <v>Corresponde a las personas que son valoradas por la ACDVPR atraves del sistema SIVIC, para acceder al otorgamiento de ayuda humanitaria.</v>
      </c>
      <c r="DE31" s="149" t="str">
        <f t="shared" si="75"/>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
      <c r="DF31" s="149" t="str">
        <f t="shared" si="75"/>
        <v>Sistema de información a víctimas - SIVIC</v>
      </c>
      <c r="DG31" s="149" t="str">
        <f t="shared" si="75"/>
        <v>Constante</v>
      </c>
      <c r="DH31" s="149" t="str">
        <f t="shared" si="2"/>
        <v/>
      </c>
      <c r="DI31" s="149">
        <f t="shared" si="3"/>
        <v>100</v>
      </c>
      <c r="DJ31" s="149">
        <f t="shared" si="4"/>
        <v>100</v>
      </c>
      <c r="DK31" s="149">
        <f t="shared" si="5"/>
        <v>100</v>
      </c>
      <c r="DL31" s="149">
        <f t="shared" si="6"/>
        <v>100</v>
      </c>
      <c r="DM31" s="149">
        <f t="shared" si="7"/>
        <v>100</v>
      </c>
      <c r="DN31" s="149">
        <f t="shared" si="36"/>
        <v>0</v>
      </c>
      <c r="DO31" s="149">
        <f t="shared" si="74"/>
        <v>100</v>
      </c>
      <c r="DP31" s="149">
        <f t="shared" si="74"/>
        <v>100</v>
      </c>
      <c r="DQ31" s="149">
        <f t="shared" si="74"/>
        <v>100</v>
      </c>
      <c r="DR31" s="149">
        <f t="shared" si="74"/>
        <v>100</v>
      </c>
      <c r="DS31" s="149">
        <f t="shared" si="74"/>
        <v>100</v>
      </c>
      <c r="DT31" s="149">
        <f>IF(OR(A31="174A",A31="174B",A31="174C",A31="174D",A31="174E"),0,IF(AND($X31="Constante",$DG31="Constante"),$DU31,IF(AND($AB31="Porcentaje",$X31="Creciente",$DG31="Suma",$AW31&lt;&gt;"No Disponible / No Aplica",IFERROR($AX31-$AW31,0)&gt;0),VLOOKUP($A31,consolidado,MATCH(DT$5,consolidadofila,0),0)/$DH31*$AX31*($AX31-$AW31)/$AX31,IF(AND($AB31="Porcentaje",$X31="Creciente",,$AW31&lt;&gt;"No Disponible / No Aplica",IFERROR($AX31-$AW31,0)&gt;0,OR($DG31="Constante",$DG31="Creciente")),VLOOKUP($A31,consolidado,MATCH(DT$5,consolidadofila,0),0)*($AX31-$AW31)/$AX31,IF(AND($AB31="Número",$X31="Creciente"),VLOOKUP($A31,consolidado,MATCH(DT$5,consolidadofila,0),0),IF(AND($AB31="Porcentaje",$DG31="Suma"),VLOOKUP($A31,consolidado,MATCH(DT$5,consolidadofila,0),0)/$DH31*$AX31,IF(AND($AB31="Porcentaje",OR($DG31="Constante",$DG31="Creciente")),VLOOKUP($A31,consolidado,MATCH(DT$5,consolidadofila,0),0),IF($AB31="Número",VLOOKUP($A31,consolidado,MATCH(DT$5,consolidadofila,0),0)))))))))</f>
        <v>0</v>
      </c>
      <c r="DU31" s="149">
        <f t="shared" si="76"/>
        <v>100</v>
      </c>
      <c r="DV31" s="149">
        <f t="shared" si="76"/>
        <v>1001</v>
      </c>
      <c r="DW31" s="149">
        <f t="shared" si="76"/>
        <v>1001</v>
      </c>
      <c r="DX31" s="149" t="str">
        <f t="shared" si="76"/>
        <v xml:space="preserve">Para el mes de enero de 2020, se evaluaron 1001 personas con los criterios de otorgamiento de ayuda humanitaria inmediata.
De estas personas 26 personas presentaron alguna discapacidad, mientras que 975 personas no presentaron ningún tipo de discapacidad.
</v>
      </c>
      <c r="DY31" s="149" t="str">
        <f t="shared" si="76"/>
        <v>No se presenta retraso dado que este acompañamiento es realizado a demanda de las entidades.</v>
      </c>
      <c r="DZ31" s="149" t="str">
        <f t="shared" si="76"/>
        <v>Permite tener trazabilidad de atención de las personas víctimas en estado de vulnerabilidad</v>
      </c>
      <c r="EA31" s="149">
        <f t="shared" si="76"/>
        <v>1533</v>
      </c>
      <c r="EB31" s="149">
        <f t="shared" si="76"/>
        <v>1533</v>
      </c>
      <c r="EC31" s="149" t="str">
        <f t="shared" si="76"/>
        <v xml:space="preserve">Para el mes de febrero de 2020, se evaluaron 1.533 personas con los criterios de otorgamiento de ayuda humanitaria inmediata.
De las 1.533 personas evaluadas con los criterios de otorgamiento de Ayuda Humanitaria Inmediata - AHI, 724 corresponde a hombres, 807 mujeres y 2 personas que se reconocen como intersexuales. De estas personas, 29 personas presentaron alguna discapacidad, mientras que 1.504 personas no presentaron ningún tipo de discapacidad.
</v>
      </c>
      <c r="ED31" s="149" t="str">
        <f t="shared" si="76"/>
        <v>No se presenta retraso dado que este acompañamiento es realizado a demanda de las entidades.</v>
      </c>
      <c r="EE31" s="149" t="str">
        <f t="shared" si="77"/>
        <v>Permite tener trazabilidad de atención de las personas víctimas en estado de vulnerabilidad</v>
      </c>
      <c r="EF31" s="149">
        <f t="shared" si="77"/>
        <v>1262</v>
      </c>
      <c r="EG31" s="149">
        <f t="shared" si="77"/>
        <v>1262</v>
      </c>
      <c r="EH31" s="149" t="str">
        <f t="shared" si="77"/>
        <v xml:space="preserve">Para el mes de marzo de 2020, se evaluaron 1.262 personas con los criterios de otorgamiento de ayuda humanitaria inmediata.
De las 1.262 personas evaluadas con los criterios de otorgamiento de Ayuda Humanitaria Inmediata - AHI, 619 corresponde a hombres, 642 mujeres y 1 personas que se reconocen como intersexuales. De estas personas, 20 personas presentaron alguna discapacidad, mientras que 1.242 personas no presentaron ningún tipo de discapacidad.
</v>
      </c>
      <c r="EI31" s="149" t="str">
        <f t="shared" si="77"/>
        <v>No se presenta retraso dado que este acompañamiento es realizado a demanda de las entidades.</v>
      </c>
      <c r="EJ31" s="149" t="str">
        <f t="shared" si="77"/>
        <v>Permite tener trazabilidad de atención de las personas víctimas en estado de vulnerabilidad</v>
      </c>
      <c r="EK31" s="149">
        <f t="shared" si="77"/>
        <v>1225</v>
      </c>
      <c r="EL31" s="149">
        <f t="shared" si="77"/>
        <v>1225</v>
      </c>
      <c r="EM31" s="149" t="str">
        <f t="shared" si="77"/>
        <v xml:space="preserve">Para el mes de abril de 2020, se evaluaron 1.225 personas con los criterios de otorgamiento de ayuda humanitaria inmediata.
De las 1.225 personas evaluadas con los criterios de otorgamiento de Ayuda Humanitaria Inmediata - AHI, 588 corresponde a hombres, 636 mujeres y 1 personas que se reconocen como intersexuales. De estas personas, 21 personas presentaron alguna discapacidad, mientras que 1.204 personas no presentaron ningún tipo de discapacidad. Por grupo etario , 514 corresponde a niños-adolecentes, 681 adultos, 28 adultos mayores y 2 sin información. 
</v>
      </c>
      <c r="EN31" s="149" t="str">
        <f t="shared" si="77"/>
        <v>No se presenta retraso dado que este acompañamiento es realizado a demanda de las entidades.</v>
      </c>
      <c r="EO31" s="149" t="str">
        <f t="shared" si="78"/>
        <v>Permite tener trazabilidad de atención de las personas víctimas en estado de vulnerabilidad</v>
      </c>
      <c r="EP31" s="149">
        <f t="shared" si="78"/>
        <v>473</v>
      </c>
      <c r="EQ31" s="149">
        <f t="shared" si="78"/>
        <v>473</v>
      </c>
      <c r="ER31" s="149" t="str">
        <f t="shared" si="78"/>
        <v xml:space="preserve">Para el mes de mayo de 2020, se evaluaron 473 personas con los criterios de otorgamiento de ayuda humanitaria inmediata.
De las 473 personas evaluadas con los criterios de otorgamiento de Ayuda Humanitaria Inmediata - AHI, 239 corresponde a hombres, 234 mujeres. De esta población, 9 personas presentaron alguna discapacidad, mientras que 464 personas no presentaron ningún tipo de discapacidad. Por grupo etario , 187 corresponde a niños-adolecentes, 276 adultos, 7 adultos mayores y 3 sin información. 
</v>
      </c>
      <c r="ES31" s="149" t="str">
        <f t="shared" si="78"/>
        <v xml:space="preserve">Dada la situación de emergencia sanitaria, no se ha logrado realizar la valoración a la población debido a que los CLAV se encuentran cerrados a razón de la contingencia del COVID-19.
Se presentan dificultades para cumplir la acción correspondiente a las contrarreferencias, teniendo en cuenta que, por el cambio de administración y la organización de esta, no se contaba con los enlaces de las otras instituciones para realizar este proceso. 
</v>
      </c>
      <c r="ET31" s="149" t="str">
        <f t="shared" si="78"/>
        <v>Permite tener trazabilidad de atención de las personas víctimas en estado de vulnerabilidad</v>
      </c>
      <c r="EU31" s="149" t="str">
        <f t="shared" si="44"/>
        <v/>
      </c>
      <c r="EV31" s="149" t="str">
        <f t="shared" si="44"/>
        <v/>
      </c>
      <c r="EW31" s="149" t="str">
        <f t="shared" si="44"/>
        <v/>
      </c>
      <c r="EX31" s="149" t="str">
        <f t="shared" si="44"/>
        <v/>
      </c>
      <c r="EY31" s="149" t="str">
        <f t="shared" si="44"/>
        <v/>
      </c>
      <c r="EZ31" s="149">
        <f t="shared" si="78"/>
        <v>5494</v>
      </c>
      <c r="FA31" s="149">
        <f t="shared" si="78"/>
        <v>5494</v>
      </c>
      <c r="FB31" s="149" t="str">
        <f t="shared" si="78"/>
        <v/>
      </c>
      <c r="FC31" s="149" t="str">
        <f t="shared" si="78"/>
        <v/>
      </c>
      <c r="FD31" s="149" t="str">
        <f t="shared" si="79"/>
        <v/>
      </c>
      <c r="FE31" s="149" t="str">
        <f t="shared" si="79"/>
        <v/>
      </c>
      <c r="FF31" s="149" t="str">
        <f t="shared" si="79"/>
        <v/>
      </c>
      <c r="FG31" s="149" t="str">
        <f t="shared" si="79"/>
        <v/>
      </c>
      <c r="FH31" s="149" t="str">
        <f t="shared" si="79"/>
        <v/>
      </c>
      <c r="FI31" s="149" t="str">
        <f t="shared" si="79"/>
        <v/>
      </c>
      <c r="FJ31" s="149" t="str">
        <f t="shared" si="79"/>
        <v/>
      </c>
      <c r="FK31" s="149" t="str">
        <f t="shared" si="79"/>
        <v/>
      </c>
      <c r="FL31" s="149" t="str">
        <f t="shared" si="79"/>
        <v/>
      </c>
      <c r="FM31" s="149" t="str">
        <f t="shared" si="79"/>
        <v/>
      </c>
      <c r="FN31" s="149" t="str">
        <f t="shared" si="80"/>
        <v/>
      </c>
      <c r="FO31" s="149" t="str">
        <f t="shared" si="80"/>
        <v/>
      </c>
      <c r="FP31" s="149" t="str">
        <f t="shared" si="80"/>
        <v/>
      </c>
      <c r="FQ31" s="149" t="str">
        <f t="shared" si="80"/>
        <v/>
      </c>
      <c r="FR31" s="149" t="str">
        <f t="shared" si="80"/>
        <v/>
      </c>
      <c r="FS31" s="149" t="str">
        <f t="shared" si="80"/>
        <v/>
      </c>
      <c r="FT31" s="149" t="str">
        <f t="shared" si="80"/>
        <v/>
      </c>
      <c r="FU31" s="149" t="str">
        <f t="shared" si="80"/>
        <v/>
      </c>
      <c r="FV31" s="149" t="str">
        <f t="shared" si="80"/>
        <v/>
      </c>
      <c r="FW31" s="149" t="str">
        <f t="shared" si="80"/>
        <v/>
      </c>
      <c r="FX31" s="149" t="str">
        <f t="shared" si="81"/>
        <v/>
      </c>
      <c r="FY31" s="149" t="str">
        <f t="shared" si="81"/>
        <v/>
      </c>
      <c r="FZ31" s="149" t="str">
        <f t="shared" si="81"/>
        <v/>
      </c>
      <c r="GA31" s="149" t="str">
        <f t="shared" si="81"/>
        <v/>
      </c>
      <c r="GB31" s="149" t="str">
        <f t="shared" si="81"/>
        <v/>
      </c>
      <c r="GC31" s="149" t="str">
        <f t="shared" si="81"/>
        <v/>
      </c>
      <c r="GD31" s="149" t="str">
        <f t="shared" si="81"/>
        <v/>
      </c>
      <c r="GE31" s="149" t="str">
        <f t="shared" si="81"/>
        <v/>
      </c>
      <c r="GF31" s="149">
        <f t="shared" si="33"/>
        <v>1</v>
      </c>
      <c r="GG31" s="149">
        <f t="shared" si="22"/>
        <v>1</v>
      </c>
      <c r="GH31" s="149">
        <f t="shared" si="23"/>
        <v>1</v>
      </c>
      <c r="GI31" s="149">
        <f t="shared" si="24"/>
        <v>1</v>
      </c>
      <c r="GJ31" s="149">
        <f t="shared" si="25"/>
        <v>1</v>
      </c>
      <c r="GK31" s="149">
        <f t="shared" si="34"/>
        <v>1</v>
      </c>
      <c r="GL31" s="149">
        <f t="shared" si="15"/>
        <v>100</v>
      </c>
      <c r="GM31" s="149">
        <f t="shared" si="16"/>
        <v>100</v>
      </c>
      <c r="GN31" s="149">
        <f t="shared" si="17"/>
        <v>100</v>
      </c>
      <c r="GO31" s="149">
        <f t="shared" si="18"/>
        <v>100</v>
      </c>
      <c r="GP31" s="149">
        <f t="shared" si="19"/>
        <v>100</v>
      </c>
      <c r="GQ31" s="149" t="e">
        <f t="shared" si="19"/>
        <v>#VALUE!</v>
      </c>
      <c r="GR31" s="153">
        <f t="shared" ref="GR31:GR47" si="82">+IF(DG31="Suma",SUM(GL31:GP31),AVERAGE(GL31:GP31))</f>
        <v>100</v>
      </c>
      <c r="GS31" s="149">
        <f t="shared" si="37"/>
        <v>100</v>
      </c>
      <c r="GT31" s="149">
        <f>+IF(OR($A31=52,$A31=124),1,IFERROR(IF($X31="Creciente",IF($AB31="Número",SUM($GL31:GM31)/SUM($DO31:DP31)*($AX31-$AW31),SUM($GL31:GM31)/SUM($DO31:DP31))*($AX31-$AW31),IF($DG31="Creciente",GM31*GM31/GM31,IF(AND($DG31="Constante",$AB31="Porcentaje"),AVERAGEIF($GL31:GM31,"&lt;&gt;0")/AVERAGEIF($DO31:DP31,"&lt;&gt;0")*100,SUM($GL31:GM31)/SUM($DO31:DP31)*$DU31))),GS31))</f>
        <v>100</v>
      </c>
      <c r="GU31" s="149">
        <f>+IF(OR($A31=52,$A31=124),1,IFERROR(IF($X31="Creciente",IF($AB31="Número",SUM($GL31:GN31)/SUM($DO31:DQ31)*($AX31-$AW31),SUM($GL31:GN31)/SUM($DO31:DQ31))*($AX31-$AW31),IF($DG31="Creciente",GN31*GN31/GN31,IF(AND($DG31="Constante",$AB31="Porcentaje"),AVERAGEIF($GL31:GN31,"&lt;&gt;0")/AVERAGEIF($DO31:DQ31,"&lt;&gt;0")*100,SUM($GL31:GN31)/SUM($DO31:DQ31)*$DU31))),GT31))</f>
        <v>100</v>
      </c>
      <c r="GV31" s="149">
        <f>+IF(OR($A31=52,$A31=124),1,IFERROR(IF($X31="Creciente",IF($AB31="Número",SUM($GL31:GO31)/SUM($DO31:DR31)*($AX31-$AW31),SUM($GL31:GO31)/SUM($DO31:DR31))*($AX31-$AW31),IF($DG31="Creciente",GO31*GO31/GO31,IF(AND($DG31="Constante",$AB31="Porcentaje"),AVERAGEIF($GL31:GO31,"&lt;&gt;0")/AVERAGEIF($DO31:DR31,"&lt;&gt;0")*100,SUM($GL31:GO31)/SUM($DO31:DR31)*$DU31))),GU31))</f>
        <v>100</v>
      </c>
      <c r="GW31" s="149">
        <f>+IF(OR($A31=52,$A31=124),1,IFERROR(IF($X31="Creciente",IF($AB31="Número",SUM($GL31:GP31)/SUM($DO31:DS31)*($AX31-$AW31),SUM($GL31:GP31)/SUM($DO31:DS31))*($AX31-$AW31),IF($DG31="Creciente",GP31*GP31/GP31,IF(AND($DG31="Constante",$AB31="Porcentaje"),AVERAGEIF($GL31:GP31,"&lt;&gt;0")/AVERAGEIF($DO31:DS31,"&lt;&gt;0")*100,SUM($GL31:GP31)/SUM($DO31:DS31)*$DU31))),GV31))</f>
        <v>100</v>
      </c>
      <c r="GX31" s="149">
        <f>+IF(OR($A31=52,$A31=124),1,IFERROR(IF($X31="Creciente",IF($AB31="Número",SUM($GL31:GQ31)/SUM($DO31:DT31)*($AX31-$AW31),SUM($GL31:GQ31)/SUM($DO31:DT31))*($AX31-$AW31),IF($DG31="Creciente",GQ31*GQ31/GQ31,IF(AND($DG31="Constante",$AB31="Porcentaje"),AVERAGEIF($GL31:GQ31,"&lt;&gt;0")/AVERAGEIF($DO31:DT31,"&lt;&gt;0")*100,SUM($GL31:GQ31)/SUM($DO31:DT31)*$DU31))),GW31))</f>
        <v>100</v>
      </c>
      <c r="GY31" s="149" t="str">
        <f t="shared" si="28"/>
        <v>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v>
      </c>
      <c r="GZ31" s="149" t="str">
        <f t="shared" si="29"/>
        <v>Corresponde a las personas que son valoradas por la ACDVPR atraves del sistema SIVIC, para acceder al otorgamiento de ayuda humanitaria.</v>
      </c>
      <c r="HA31" s="149" t="str">
        <f t="shared" si="30"/>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
      <c r="HB31" s="149" t="str">
        <f t="shared" si="31"/>
        <v>Sistema de información a víctimas - SIVIC</v>
      </c>
      <c r="HC31" s="149" t="str">
        <f t="shared" si="72"/>
        <v>Cumple</v>
      </c>
      <c r="HD31" s="149" t="str">
        <f t="shared" si="72"/>
        <v>Cumplido</v>
      </c>
      <c r="HE31" s="149" t="str">
        <f t="shared" si="72"/>
        <v>Adecuado</v>
      </c>
      <c r="HF31" s="149" t="str">
        <f t="shared" si="72"/>
        <v>Coherente</v>
      </c>
      <c r="HG31" s="149" t="str">
        <f t="shared" si="72"/>
        <v>Concuerda</v>
      </c>
      <c r="HH31" s="149" t="str">
        <f t="shared" si="72"/>
        <v>Concuerda</v>
      </c>
      <c r="HI31" s="149">
        <f t="shared" si="72"/>
        <v>0</v>
      </c>
      <c r="HJ31" s="149" t="str">
        <f t="shared" si="72"/>
        <v>Adecuado</v>
      </c>
      <c r="HK31" s="149" t="str">
        <f t="shared" si="72"/>
        <v>Oportuna</v>
      </c>
      <c r="HL31" s="149" t="str">
        <f t="shared" si="72"/>
        <v>Ninguna</v>
      </c>
      <c r="HM31" s="149" t="str">
        <f t="shared" si="73"/>
        <v>Marcela Andrea García Guerrero</v>
      </c>
      <c r="HN31" s="149" t="str">
        <f t="shared" si="73"/>
        <v>No aplica</v>
      </c>
      <c r="HO31" s="149" t="str">
        <f t="shared" si="73"/>
        <v>No aplica</v>
      </c>
      <c r="HP31" s="149" t="str">
        <f t="shared" si="73"/>
        <v>No aplica</v>
      </c>
      <c r="HQ31" s="149" t="str">
        <f t="shared" si="73"/>
        <v>No aplica</v>
      </c>
      <c r="HR31" s="149" t="str">
        <f t="shared" si="73"/>
        <v>No aplica</v>
      </c>
      <c r="HS31" s="149" t="str">
        <f t="shared" si="73"/>
        <v>No aplica</v>
      </c>
      <c r="HT31" s="149">
        <f t="shared" si="73"/>
        <v>0</v>
      </c>
      <c r="HU31" s="149" t="str">
        <f t="shared" si="73"/>
        <v>No aplica</v>
      </c>
      <c r="HV31" s="149" t="str">
        <f t="shared" si="73"/>
        <v>No aplica</v>
      </c>
      <c r="HW31" s="149" t="str">
        <f t="shared" si="73"/>
        <v>No aplica</v>
      </c>
      <c r="HX31" s="149">
        <f t="shared" si="73"/>
        <v>0</v>
      </c>
    </row>
    <row r="32" spans="1:241" s="149" customFormat="1" x14ac:dyDescent="0.3">
      <c r="A32" s="145" t="s">
        <v>358</v>
      </c>
      <c r="B32" s="146" t="s">
        <v>1144</v>
      </c>
      <c r="C32" s="146" t="s">
        <v>1144</v>
      </c>
      <c r="D32" s="146" t="s">
        <v>1144</v>
      </c>
      <c r="E32" s="146" t="s">
        <v>1144</v>
      </c>
      <c r="F32" s="136" t="s">
        <v>1411</v>
      </c>
      <c r="G32" s="146" t="s">
        <v>1144</v>
      </c>
      <c r="H32" s="146" t="s">
        <v>1144</v>
      </c>
      <c r="I32" s="149" t="s">
        <v>1146</v>
      </c>
      <c r="J32" s="154" t="s">
        <v>140</v>
      </c>
      <c r="K32" s="154" t="s">
        <v>141</v>
      </c>
      <c r="L32" s="154" t="s">
        <v>1412</v>
      </c>
      <c r="M32" s="154" t="s">
        <v>1413</v>
      </c>
      <c r="N32" s="154" t="s">
        <v>1414</v>
      </c>
      <c r="O32" s="154" t="s">
        <v>1415</v>
      </c>
      <c r="P32" s="148" t="s">
        <v>1411</v>
      </c>
      <c r="Q32" s="154" t="s">
        <v>1416</v>
      </c>
      <c r="R32" s="154"/>
      <c r="S32" s="154" t="s">
        <v>1417</v>
      </c>
      <c r="T32" s="154" t="s">
        <v>1418</v>
      </c>
      <c r="U32" s="154" t="s">
        <v>1419</v>
      </c>
      <c r="V32" s="154" t="s">
        <v>1420</v>
      </c>
      <c r="W32" s="148" t="s">
        <v>638</v>
      </c>
      <c r="X32" s="154" t="s">
        <v>638</v>
      </c>
      <c r="Y32" s="166"/>
      <c r="Z32" s="154" t="s">
        <v>1421</v>
      </c>
      <c r="AA32" s="154" t="s">
        <v>1422</v>
      </c>
      <c r="AB32" s="154" t="s">
        <v>602</v>
      </c>
      <c r="AC32" s="154" t="s">
        <v>1159</v>
      </c>
      <c r="AD32" s="154" t="s">
        <v>1160</v>
      </c>
      <c r="AE32" s="154">
        <v>2019</v>
      </c>
      <c r="AF32" s="154">
        <v>0</v>
      </c>
      <c r="AG32" s="154">
        <v>2019</v>
      </c>
      <c r="AH32" s="154" t="s">
        <v>1161</v>
      </c>
      <c r="AI32" s="154" t="s">
        <v>1161</v>
      </c>
      <c r="AJ32" s="154" t="s">
        <v>1161</v>
      </c>
      <c r="AK32" s="154">
        <v>1</v>
      </c>
      <c r="AL32" s="217">
        <v>1</v>
      </c>
      <c r="AM32" s="154" t="s">
        <v>1161</v>
      </c>
      <c r="AN32" s="146" t="s">
        <v>1144</v>
      </c>
      <c r="AO32" s="146" t="s">
        <v>1144</v>
      </c>
      <c r="AP32" s="146" t="s">
        <v>1144</v>
      </c>
      <c r="AQ32" s="146" t="s">
        <v>1144</v>
      </c>
      <c r="AR32" s="146" t="s">
        <v>1144</v>
      </c>
      <c r="AS32" s="150" t="s">
        <v>1144</v>
      </c>
      <c r="AT32" s="232" t="s">
        <v>1161</v>
      </c>
      <c r="AU32" s="232" t="s">
        <v>1161</v>
      </c>
      <c r="AV32" s="232" t="s">
        <v>1161</v>
      </c>
      <c r="AW32" s="232">
        <v>100</v>
      </c>
      <c r="AX32" s="211">
        <v>100</v>
      </c>
      <c r="AY32" s="232" t="s">
        <v>1161</v>
      </c>
      <c r="BD32" s="149">
        <v>0</v>
      </c>
      <c r="BJ32" s="149">
        <v>0</v>
      </c>
      <c r="BK32" s="146" t="s">
        <v>1144</v>
      </c>
      <c r="BL32" s="146" t="s">
        <v>1144</v>
      </c>
      <c r="BM32" s="146" t="s">
        <v>1144</v>
      </c>
      <c r="BN32" s="146" t="s">
        <v>1144</v>
      </c>
      <c r="BO32" s="146" t="s">
        <v>1144</v>
      </c>
      <c r="BP32" s="146" t="s">
        <v>1144</v>
      </c>
      <c r="BQ32" s="146" t="s">
        <v>1144</v>
      </c>
      <c r="BR32" s="146" t="s">
        <v>1144</v>
      </c>
      <c r="BS32" s="146" t="s">
        <v>1144</v>
      </c>
      <c r="BT32" s="146" t="s">
        <v>1144</v>
      </c>
      <c r="BU32" s="146" t="s">
        <v>1144</v>
      </c>
      <c r="BV32" s="146" t="s">
        <v>1144</v>
      </c>
      <c r="BW32" s="154" t="s">
        <v>1144</v>
      </c>
      <c r="BX32" s="154" t="s">
        <v>1144</v>
      </c>
      <c r="BY32" s="154">
        <v>1</v>
      </c>
      <c r="BZ32" s="154">
        <v>1</v>
      </c>
      <c r="CA32" s="154" t="s">
        <v>1144</v>
      </c>
      <c r="CB32" s="154" t="s">
        <v>1144</v>
      </c>
      <c r="CC32" s="154" t="s">
        <v>1144</v>
      </c>
      <c r="CD32" s="219">
        <v>1</v>
      </c>
      <c r="CE32" s="219" t="s">
        <v>256</v>
      </c>
      <c r="CF32" s="154" t="s">
        <v>1144</v>
      </c>
      <c r="CG32" s="154" t="s">
        <v>1144</v>
      </c>
      <c r="CH32" s="154" t="s">
        <v>1144</v>
      </c>
      <c r="CI32" s="154" t="s">
        <v>1144</v>
      </c>
      <c r="CJ32" s="154" t="s">
        <v>1144</v>
      </c>
      <c r="CK32" s="154" t="s">
        <v>1144</v>
      </c>
      <c r="CL32" s="154" t="s">
        <v>1144</v>
      </c>
      <c r="CM32" s="154" t="s">
        <v>1144</v>
      </c>
      <c r="CN32" s="154" t="s">
        <v>1144</v>
      </c>
      <c r="CO32" s="154" t="s">
        <v>1144</v>
      </c>
      <c r="CP32" s="154" t="s">
        <v>1144</v>
      </c>
      <c r="CQ32" s="154" t="s">
        <v>1144</v>
      </c>
      <c r="CR32" s="154" t="s">
        <v>1144</v>
      </c>
      <c r="CS32" s="154" t="s">
        <v>1144</v>
      </c>
      <c r="CT32" s="154" t="s">
        <v>1144</v>
      </c>
      <c r="CU32" s="154" t="s">
        <v>1144</v>
      </c>
      <c r="CV32" s="154" t="s">
        <v>1144</v>
      </c>
      <c r="CW32" s="154" t="s">
        <v>1144</v>
      </c>
      <c r="CX32" s="154" t="s">
        <v>1144</v>
      </c>
      <c r="CY32" s="154" t="s">
        <v>1144</v>
      </c>
      <c r="CZ32" s="154" t="s">
        <v>1144</v>
      </c>
      <c r="DA32" s="154" t="s">
        <v>1144</v>
      </c>
      <c r="DB32" s="152" t="str">
        <f t="shared" si="32"/>
        <v xml:space="preserve">Plan Estratégico Institucional, Plan de Acción, SGC, PROCESO: Comunicación Pública, </v>
      </c>
      <c r="DC32" s="149" t="str">
        <f t="shared" si="75"/>
        <v>Implementar Plan de Comunicaciones de los servicios y las acciones que desarrolla la Secretaría General.</v>
      </c>
      <c r="DD32" s="149" t="str">
        <f t="shared" si="75"/>
        <v>Definir y establecer las acciones de la vigencia que cada dependencia de la Secretaría General necesite divulgar.</v>
      </c>
      <c r="DE32" s="149" t="str">
        <f t="shared" si="75"/>
        <v>Grantiza la ejecución ordenada de las necesidades de comunicación de las dependencias de la Secretaría General.</v>
      </c>
      <c r="DF32" s="149" t="str">
        <f t="shared" si="75"/>
        <v xml:space="preserve">Carpeta Compartida - Matriz </v>
      </c>
      <c r="DG32" s="149" t="str">
        <f t="shared" si="75"/>
        <v>Suma</v>
      </c>
      <c r="DH32" s="149">
        <f t="shared" si="2"/>
        <v>4</v>
      </c>
      <c r="DI32" s="149">
        <f t="shared" si="3"/>
        <v>0</v>
      </c>
      <c r="DJ32" s="149">
        <f t="shared" si="4"/>
        <v>0</v>
      </c>
      <c r="DK32" s="149">
        <f t="shared" si="5"/>
        <v>1</v>
      </c>
      <c r="DL32" s="149">
        <f t="shared" si="6"/>
        <v>1</v>
      </c>
      <c r="DM32" s="149">
        <f t="shared" si="7"/>
        <v>1</v>
      </c>
      <c r="DN32" s="149">
        <f t="shared" si="36"/>
        <v>1</v>
      </c>
      <c r="DO32" s="149">
        <f t="shared" si="74"/>
        <v>0</v>
      </c>
      <c r="DP32" s="149">
        <f t="shared" si="74"/>
        <v>0</v>
      </c>
      <c r="DQ32" s="149">
        <f t="shared" si="74"/>
        <v>25</v>
      </c>
      <c r="DR32" s="149">
        <f t="shared" si="74"/>
        <v>25</v>
      </c>
      <c r="DS32" s="149">
        <f t="shared" si="74"/>
        <v>25</v>
      </c>
      <c r="DT32" s="149">
        <f t="shared" si="74"/>
        <v>25</v>
      </c>
      <c r="DU32" s="149">
        <f t="shared" si="76"/>
        <v>100</v>
      </c>
      <c r="DV32" s="149">
        <f t="shared" si="76"/>
        <v>0</v>
      </c>
      <c r="DW32" s="149">
        <f t="shared" si="76"/>
        <v>0</v>
      </c>
      <c r="DX32" s="149" t="str">
        <f t="shared" si="76"/>
        <v>N/A</v>
      </c>
      <c r="DY32" s="149" t="str">
        <f t="shared" si="76"/>
        <v>N/A</v>
      </c>
      <c r="DZ32" s="149" t="str">
        <f t="shared" si="76"/>
        <v>N/A</v>
      </c>
      <c r="EA32" s="149">
        <f t="shared" si="76"/>
        <v>0</v>
      </c>
      <c r="EB32" s="149">
        <f t="shared" si="76"/>
        <v>0</v>
      </c>
      <c r="EC32" s="149" t="str">
        <f t="shared" si="76"/>
        <v>N/A</v>
      </c>
      <c r="ED32" s="149" t="str">
        <f t="shared" si="76"/>
        <v>N/A</v>
      </c>
      <c r="EE32" s="149" t="str">
        <f t="shared" si="77"/>
        <v>N/A</v>
      </c>
      <c r="EF32" s="149">
        <f t="shared" si="77"/>
        <v>1</v>
      </c>
      <c r="EG32" s="149">
        <f t="shared" si="77"/>
        <v>1</v>
      </c>
      <c r="EH32" s="149" t="str">
        <f t="shared" si="77"/>
        <v>La Oficina Consejería de Comunicaciones de la Secretaria General diseño, elaboró y divulgó la campaña interna para el 08 de marzo en el marco del “Día internacional por los derechos de las mujeres”, realizando un recorrido turístico por la candelaria dando a conocer el legado de las mujeres que tuvieron trascendencia en la historia de Bogotá, muestra fotográfica frente al palacio Liévano “Miradas de Mujer”, entre otras actividades.</v>
      </c>
      <c r="EI32" s="149" t="str">
        <f t="shared" si="77"/>
        <v>Para este periodo no se generaron retrasos o dificultades ya que se cumplió con la programación realizada.</v>
      </c>
      <c r="EJ32" s="149" t="str">
        <f t="shared" si="77"/>
        <v>Enaltecer las acciones colectivas de las mujeres por condiciones de vida digna y justas en el trabajo y en la sociedad.</v>
      </c>
      <c r="EK32" s="149">
        <f t="shared" si="77"/>
        <v>1</v>
      </c>
      <c r="EL32" s="149">
        <f t="shared" si="77"/>
        <v>1</v>
      </c>
      <c r="EM32" s="149" t="str">
        <f t="shared" si="77"/>
        <v>Para este mes la Oficina Consejería de Comunicaciones desarrolló la campaña interna denominada “Teletrabajo” dirigida a todos los servidores y contratistas de la entidad, con el fin de Afianzar el autocuidado, pero también su nuevo entorno de trabajo y actividades familiares (clases de los hijos virtuales, cuidado de adultos mayores, mascotas y teletrabajo, etc), mediante la divulgación de una cartilla de tips para el trabajo en casa, y divulgando un álbum fotográfico donde los servidores aportaron fotografías en su entorno de trabajo en casa.</v>
      </c>
      <c r="EN32" s="149" t="str">
        <f t="shared" si="77"/>
        <v>Para este periodo no se generaron retrasos o dificultades ya que se cumplió con la programación realizada.</v>
      </c>
      <c r="EO32" s="149" t="str">
        <f t="shared" si="78"/>
        <v>Que Servidores y Contratistas de la Secretaría General sientan que son importantes para la entidad y que, aunque se está trabajando en casa se deben valorar los momentos en familia y con los integrantes del núcleo familiar .</v>
      </c>
      <c r="EP32" s="149">
        <f t="shared" si="78"/>
        <v>1</v>
      </c>
      <c r="EQ32" s="149">
        <f t="shared" si="78"/>
        <v>1</v>
      </c>
      <c r="ER32" s="149" t="str">
        <f t="shared" si="78"/>
        <v>En el mes de mayo se desarrolló la campaña interna “Semana ambiental virtual en tiempos de COVID 19” cuyo objetivo es promover la adopción de prácticas sostenibles en la oficina y en el hogar para consumir recursos de manera responsable con el medio ambiente y con las generaciones futuras.</v>
      </c>
      <c r="ES32" s="149" t="str">
        <f t="shared" si="78"/>
        <v>Para este periodo no se generaron retrasos o dificultades ya que se cumplió con la programación realizada.</v>
      </c>
      <c r="ET32" s="149" t="str">
        <f t="shared" si="78"/>
        <v xml:space="preserve">El derecho constitucional a gozar de un ambiente sano y la promoción del cuidado del medio ambiente y la salud en el desarrollo de nuestras actividades. </v>
      </c>
      <c r="EU32" s="149">
        <f t="shared" si="44"/>
        <v>1</v>
      </c>
      <c r="EV32" s="149">
        <f t="shared" si="44"/>
        <v>1</v>
      </c>
      <c r="EW32" s="149" t="str">
        <f t="shared" si="44"/>
        <v>En el mes de Junio, la Oficina Consejería de Comunicaciones desarrolló la campaña denominada "La Alegría de Leer" del Archivo de Bogotá, dando apoyo a la difusión en el nuevo lanzamiento de esta  exposición a través de canales internos.</v>
      </c>
      <c r="EX32" s="149" t="str">
        <f t="shared" si="44"/>
        <v>Para este periodo no se generaron retrasos o dificultades ya que se cumplió con la programación realizada.</v>
      </c>
      <c r="EY32" s="149" t="str">
        <f t="shared" si="44"/>
        <v>Dar a conocer cómo era la enseñanza primaria en la primera década del siglo XX.</v>
      </c>
      <c r="EZ32" s="149">
        <f t="shared" si="78"/>
        <v>4</v>
      </c>
      <c r="FA32" s="149">
        <f t="shared" si="78"/>
        <v>4</v>
      </c>
      <c r="FB32" s="149" t="str">
        <f t="shared" si="78"/>
        <v/>
      </c>
      <c r="FC32" s="149" t="str">
        <f t="shared" si="78"/>
        <v/>
      </c>
      <c r="FD32" s="149" t="str">
        <f t="shared" si="79"/>
        <v/>
      </c>
      <c r="FE32" s="149" t="str">
        <f t="shared" si="79"/>
        <v/>
      </c>
      <c r="FF32" s="149" t="str">
        <f t="shared" si="79"/>
        <v/>
      </c>
      <c r="FG32" s="149" t="str">
        <f t="shared" si="79"/>
        <v/>
      </c>
      <c r="FH32" s="149" t="str">
        <f t="shared" si="79"/>
        <v/>
      </c>
      <c r="FI32" s="149" t="str">
        <f t="shared" si="79"/>
        <v/>
      </c>
      <c r="FJ32" s="149" t="str">
        <f t="shared" si="79"/>
        <v/>
      </c>
      <c r="FK32" s="149" t="str">
        <f t="shared" si="79"/>
        <v/>
      </c>
      <c r="FL32" s="149" t="str">
        <f t="shared" si="79"/>
        <v/>
      </c>
      <c r="FM32" s="149" t="str">
        <f t="shared" si="79"/>
        <v/>
      </c>
      <c r="FN32" s="149" t="str">
        <f t="shared" si="80"/>
        <v/>
      </c>
      <c r="FO32" s="149" t="str">
        <f t="shared" si="80"/>
        <v/>
      </c>
      <c r="FP32" s="149" t="str">
        <f t="shared" si="80"/>
        <v/>
      </c>
      <c r="FQ32" s="149" t="str">
        <f t="shared" si="80"/>
        <v/>
      </c>
      <c r="FR32" s="149" t="str">
        <f t="shared" si="80"/>
        <v/>
      </c>
      <c r="FS32" s="149" t="str">
        <f t="shared" si="80"/>
        <v/>
      </c>
      <c r="FT32" s="149" t="str">
        <f t="shared" si="80"/>
        <v/>
      </c>
      <c r="FU32" s="149" t="str">
        <f t="shared" si="80"/>
        <v/>
      </c>
      <c r="FV32" s="149" t="str">
        <f t="shared" si="80"/>
        <v/>
      </c>
      <c r="FW32" s="149" t="str">
        <f t="shared" si="80"/>
        <v/>
      </c>
      <c r="FX32" s="149" t="str">
        <f t="shared" si="81"/>
        <v/>
      </c>
      <c r="FY32" s="149" t="str">
        <f t="shared" si="81"/>
        <v/>
      </c>
      <c r="FZ32" s="149" t="str">
        <f t="shared" si="81"/>
        <v/>
      </c>
      <c r="GA32" s="149" t="str">
        <f t="shared" si="81"/>
        <v/>
      </c>
      <c r="GB32" s="149" t="str">
        <f t="shared" si="81"/>
        <v/>
      </c>
      <c r="GC32" s="149" t="str">
        <f t="shared" si="81"/>
        <v/>
      </c>
      <c r="GD32" s="149" t="str">
        <f t="shared" si="81"/>
        <v/>
      </c>
      <c r="GE32" s="149" t="str">
        <f t="shared" si="81"/>
        <v/>
      </c>
      <c r="GF32" s="149">
        <f t="shared" si="33"/>
        <v>0</v>
      </c>
      <c r="GG32" s="149">
        <f t="shared" si="22"/>
        <v>0</v>
      </c>
      <c r="GH32" s="149">
        <f t="shared" si="23"/>
        <v>1</v>
      </c>
      <c r="GI32" s="149">
        <f t="shared" si="24"/>
        <v>1</v>
      </c>
      <c r="GJ32" s="149">
        <f t="shared" si="25"/>
        <v>1</v>
      </c>
      <c r="GK32" s="149">
        <f t="shared" si="34"/>
        <v>1</v>
      </c>
      <c r="GL32" s="149">
        <f t="shared" si="15"/>
        <v>0</v>
      </c>
      <c r="GM32" s="149">
        <f t="shared" si="16"/>
        <v>0</v>
      </c>
      <c r="GN32" s="149">
        <f t="shared" si="17"/>
        <v>25</v>
      </c>
      <c r="GO32" s="149">
        <f t="shared" si="18"/>
        <v>25</v>
      </c>
      <c r="GP32" s="149">
        <f t="shared" si="19"/>
        <v>25</v>
      </c>
      <c r="GQ32" s="149">
        <f t="shared" si="19"/>
        <v>25</v>
      </c>
      <c r="GR32" s="153">
        <f>+IF(DG32="Suma",SUM(GL32:GQ32),AVERAGE(GL32:GQ32))</f>
        <v>100</v>
      </c>
      <c r="GS32" s="149" t="str">
        <f t="shared" si="37"/>
        <v>No Programó</v>
      </c>
      <c r="GT32" s="149" t="str">
        <f>+IF(OR($A32=52,$A32=124),1,IFERROR(IF($X32="Creciente",IF($AB32="Número",SUM($GL32:GM32)/SUM($DO32:DP32)*($AX32-$AW32),SUM($GL32:GM32)/SUM($DO32:DP32))*($AX32-$AW32),IF($DG32="Creciente",GM32*GM32/GM32,IF(AND($DG32="Constante",$AB32="Porcentaje"),AVERAGEIF($GL32:GM32,"&lt;&gt;0")/AVERAGEIF($DO32:DP32,"&lt;&gt;0")*100,SUM($GL32:GM32)/SUM($DO32:DP32)*$DU32))),GS32))</f>
        <v>No Programó</v>
      </c>
      <c r="GU32" s="149">
        <f>+IF(OR($A32=52,$A32=124),1,IFERROR(IF($X32="Creciente",IF($AB32="Número",SUM($GL32:GN32)/SUM($DO32:DQ32)*($AX32-$AW32),SUM($GL32:GN32)/SUM($DO32:DQ32))*($AX32-$AW32),IF($DG32="Creciente",GN32*GN32/GN32,IF(AND($DG32="Constante",$AB32="Porcentaje"),AVERAGEIF($GL32:GN32,"&lt;&gt;0")/AVERAGEIF($DO32:DQ32,"&lt;&gt;0")*100,SUM($GL32:GN32)/SUM($DO32:DQ32)*$DU32))),GT32))</f>
        <v>100</v>
      </c>
      <c r="GV32" s="149">
        <f>+IF(OR($A32=52,$A32=124),1,IFERROR(IF($X32="Creciente",IF($AB32="Número",SUM($GL32:GO32)/SUM($DO32:DR32)*($AX32-$AW32),SUM($GL32:GO32)/SUM($DO32:DR32))*($AX32-$AW32),IF($DG32="Creciente",GO32*GO32/GO32,IF(AND($DG32="Constante",$AB32="Porcentaje"),AVERAGEIF($GL32:GO32,"&lt;&gt;0")/AVERAGEIF($DO32:DR32,"&lt;&gt;0")*100,SUM($GL32:GO32)/SUM($DO32:DR32)*$DU32))),GU32))</f>
        <v>100</v>
      </c>
      <c r="GW32" s="149">
        <f>+IF(OR($A32=52,$A32=124),1,IFERROR(IF($X32="Creciente",IF($AB32="Número",SUM($GL32:GP32)/SUM($DO32:DS32)*($AX32-$AW32),SUM($GL32:GP32)/SUM($DO32:DS32))*($AX32-$AW32),IF($DG32="Creciente",GP32*GP32/GP32,IF(AND($DG32="Constante",$AB32="Porcentaje"),AVERAGEIF($GL32:GP32,"&lt;&gt;0")/AVERAGEIF($DO32:DS32,"&lt;&gt;0")*100,SUM($GL32:GP32)/SUM($DO32:DS32)*$DU32))),GV32))</f>
        <v>100</v>
      </c>
      <c r="GX32" s="149">
        <f>+IF(OR($A32=52,$A32=124),1,IFERROR(IF($X32="Creciente",IF($AB32="Número",SUM($GL32:GQ32)/SUM($DO32:DT32)*($AX32-$AW32),SUM($GL32:GQ32)/SUM($DO32:DT32))*($AX32-$AW32),IF($DG32="Creciente",GQ32*GQ32/GQ32,IF(AND($DG32="Constante",$AB32="Porcentaje"),AVERAGEIF($GL32:GQ32,"&lt;&gt;0")/AVERAGEIF($DO32:DT32,"&lt;&gt;0")*100,SUM($GL32:GQ32)/SUM($DO32:DT32)*$DU32))),GW32))</f>
        <v>100</v>
      </c>
      <c r="GY32" s="149" t="str">
        <f t="shared" si="28"/>
        <v>Implementar Plan de Comunicaciones de los servicios y las acciones que desarrolla la Secretaría General.</v>
      </c>
      <c r="GZ32" s="149" t="str">
        <f t="shared" si="29"/>
        <v>Definir y establecer las acciones de la vigencia que cada dependencia de la Secretaría General necesite divulgar.</v>
      </c>
      <c r="HA32" s="149" t="str">
        <f t="shared" si="30"/>
        <v>Grantiza la ejecución ordenada de las necesidades de comunicación de las dependencias de la Secretaría General.</v>
      </c>
      <c r="HB32" s="149" t="str">
        <f t="shared" si="31"/>
        <v xml:space="preserve">Carpeta Compartida - Matriz </v>
      </c>
      <c r="HC32" s="149" t="str">
        <f t="shared" si="72"/>
        <v>Cumple</v>
      </c>
      <c r="HD32" s="149" t="str">
        <f t="shared" si="72"/>
        <v>Cumplido</v>
      </c>
      <c r="HE32" s="149" t="str">
        <f t="shared" si="72"/>
        <v>Adecuado</v>
      </c>
      <c r="HF32" s="149" t="str">
        <f t="shared" si="72"/>
        <v>Coherente</v>
      </c>
      <c r="HG32" s="149" t="str">
        <f t="shared" si="72"/>
        <v>Concuerda</v>
      </c>
      <c r="HH32" s="149" t="str">
        <f t="shared" si="72"/>
        <v>Concuerda</v>
      </c>
      <c r="HI32" s="149" t="str">
        <f t="shared" si="72"/>
        <v>Relación directa</v>
      </c>
      <c r="HJ32" s="149" t="str">
        <f t="shared" si="72"/>
        <v>Adecuado</v>
      </c>
      <c r="HK32" s="149" t="str">
        <f t="shared" si="72"/>
        <v>Oportuna</v>
      </c>
      <c r="HL32" s="149" t="str">
        <f t="shared" si="72"/>
        <v>Ninguna</v>
      </c>
      <c r="HM32" s="149" t="str">
        <f t="shared" si="73"/>
        <v>Marcela Andrea García Guerrero</v>
      </c>
      <c r="HN32" s="149" t="str">
        <f t="shared" si="73"/>
        <v>Cumple</v>
      </c>
      <c r="HO32" s="149" t="str">
        <f t="shared" si="73"/>
        <v>Cumplido</v>
      </c>
      <c r="HP32" s="149" t="str">
        <f t="shared" si="73"/>
        <v>Adecuado</v>
      </c>
      <c r="HQ32" s="149" t="str">
        <f t="shared" si="73"/>
        <v>Coherente</v>
      </c>
      <c r="HR32" s="149" t="str">
        <f t="shared" si="73"/>
        <v>Concuerda</v>
      </c>
      <c r="HS32" s="149" t="str">
        <f t="shared" si="73"/>
        <v>Concuerda</v>
      </c>
      <c r="HT32" s="149" t="str">
        <f t="shared" si="73"/>
        <v>Relación directa</v>
      </c>
      <c r="HU32" s="149" t="str">
        <f t="shared" si="73"/>
        <v>Adecuado</v>
      </c>
      <c r="HV32" s="149" t="str">
        <f t="shared" si="73"/>
        <v>Oportuna</v>
      </c>
      <c r="HW32" s="149" t="str">
        <f t="shared" si="73"/>
        <v>No se tienen observaciones.</v>
      </c>
      <c r="HX32" s="149" t="str">
        <f t="shared" si="73"/>
        <v>Cesar Arcos</v>
      </c>
    </row>
    <row r="33" spans="1:241" s="149" customFormat="1" x14ac:dyDescent="0.3">
      <c r="A33" s="145" t="s">
        <v>360</v>
      </c>
      <c r="B33" s="146" t="s">
        <v>1144</v>
      </c>
      <c r="C33" s="146" t="s">
        <v>1144</v>
      </c>
      <c r="D33" s="146" t="s">
        <v>1144</v>
      </c>
      <c r="E33" s="146" t="s">
        <v>1144</v>
      </c>
      <c r="F33" s="136" t="s">
        <v>1423</v>
      </c>
      <c r="G33" s="146" t="s">
        <v>1144</v>
      </c>
      <c r="H33" s="146" t="s">
        <v>1144</v>
      </c>
      <c r="I33" s="149" t="s">
        <v>1146</v>
      </c>
      <c r="J33" s="154" t="s">
        <v>93</v>
      </c>
      <c r="K33" s="154" t="s">
        <v>94</v>
      </c>
      <c r="L33" s="154" t="s">
        <v>1424</v>
      </c>
      <c r="M33" s="154" t="s">
        <v>1147</v>
      </c>
      <c r="N33" s="154" t="s">
        <v>1148</v>
      </c>
      <c r="O33" s="154" t="s">
        <v>1425</v>
      </c>
      <c r="P33" s="148" t="s">
        <v>1423</v>
      </c>
      <c r="Q33" s="154" t="s">
        <v>1426</v>
      </c>
      <c r="R33" s="154"/>
      <c r="S33" s="154" t="s">
        <v>1427</v>
      </c>
      <c r="T33" s="154" t="s">
        <v>1428</v>
      </c>
      <c r="U33" s="154" t="s">
        <v>1429</v>
      </c>
      <c r="V33" s="154" t="s">
        <v>1426</v>
      </c>
      <c r="W33" s="148" t="s">
        <v>638</v>
      </c>
      <c r="X33" s="325" t="s">
        <v>601</v>
      </c>
      <c r="Y33" s="166"/>
      <c r="Z33" s="154" t="s">
        <v>1430</v>
      </c>
      <c r="AA33" s="154" t="s">
        <v>1431</v>
      </c>
      <c r="AB33" s="154" t="s">
        <v>602</v>
      </c>
      <c r="AC33" s="154" t="s">
        <v>1159</v>
      </c>
      <c r="AD33" s="154" t="s">
        <v>1160</v>
      </c>
      <c r="AE33" s="154">
        <v>2019</v>
      </c>
      <c r="AF33" s="154">
        <v>0</v>
      </c>
      <c r="AG33" s="154">
        <v>2019</v>
      </c>
      <c r="AH33" s="154" t="s">
        <v>1161</v>
      </c>
      <c r="AI33" s="154" t="s">
        <v>1161</v>
      </c>
      <c r="AJ33" s="154" t="s">
        <v>1161</v>
      </c>
      <c r="AK33" s="154">
        <v>1</v>
      </c>
      <c r="AL33" s="217">
        <v>1</v>
      </c>
      <c r="AM33" s="154" t="s">
        <v>1161</v>
      </c>
      <c r="AN33" s="146" t="s">
        <v>1144</v>
      </c>
      <c r="AO33" s="146" t="s">
        <v>1144</v>
      </c>
      <c r="AP33" s="146" t="s">
        <v>1144</v>
      </c>
      <c r="AQ33" s="146" t="s">
        <v>1144</v>
      </c>
      <c r="AR33" s="146" t="s">
        <v>1144</v>
      </c>
      <c r="AS33" s="150" t="s">
        <v>1144</v>
      </c>
      <c r="AT33" s="232" t="s">
        <v>1161</v>
      </c>
      <c r="AU33" s="232" t="s">
        <v>1161</v>
      </c>
      <c r="AV33" s="232" t="s">
        <v>1161</v>
      </c>
      <c r="AW33" s="232">
        <v>100</v>
      </c>
      <c r="AX33" s="211">
        <v>100</v>
      </c>
      <c r="AY33" s="232" t="s">
        <v>1161</v>
      </c>
      <c r="BD33" s="149">
        <v>0</v>
      </c>
      <c r="BJ33" s="149">
        <v>0</v>
      </c>
      <c r="BK33" s="146" t="s">
        <v>1144</v>
      </c>
      <c r="BL33" s="146" t="s">
        <v>1144</v>
      </c>
      <c r="BM33" s="146" t="s">
        <v>1144</v>
      </c>
      <c r="BN33" s="146" t="s">
        <v>1144</v>
      </c>
      <c r="BO33" s="146" t="s">
        <v>1144</v>
      </c>
      <c r="BP33" s="146" t="s">
        <v>1144</v>
      </c>
      <c r="BQ33" s="146" t="s">
        <v>1144</v>
      </c>
      <c r="BR33" s="146" t="s">
        <v>1144</v>
      </c>
      <c r="BS33" s="146" t="s">
        <v>1144</v>
      </c>
      <c r="BT33" s="146" t="s">
        <v>1144</v>
      </c>
      <c r="BU33" s="146" t="s">
        <v>1144</v>
      </c>
      <c r="BV33" s="146" t="s">
        <v>1144</v>
      </c>
      <c r="BW33" s="219" t="s">
        <v>1144</v>
      </c>
      <c r="BX33" s="219" t="s">
        <v>1144</v>
      </c>
      <c r="BY33" s="219" t="s">
        <v>1144</v>
      </c>
      <c r="BZ33" s="219">
        <v>1</v>
      </c>
      <c r="CA33" s="219" t="s">
        <v>1144</v>
      </c>
      <c r="CB33" s="219" t="s">
        <v>1144</v>
      </c>
      <c r="CC33" s="219" t="s">
        <v>1144</v>
      </c>
      <c r="CD33" s="219">
        <v>1</v>
      </c>
      <c r="CE33" s="219" t="s">
        <v>261</v>
      </c>
      <c r="CF33" s="219" t="s">
        <v>1144</v>
      </c>
      <c r="CG33" s="219" t="s">
        <v>1144</v>
      </c>
      <c r="CH33" s="219" t="s">
        <v>1144</v>
      </c>
      <c r="CI33" s="219" t="s">
        <v>1144</v>
      </c>
      <c r="CJ33" s="219" t="s">
        <v>1144</v>
      </c>
      <c r="CK33" s="219" t="s">
        <v>1144</v>
      </c>
      <c r="CL33" s="219" t="s">
        <v>1144</v>
      </c>
      <c r="CM33" s="219" t="s">
        <v>1144</v>
      </c>
      <c r="CN33" s="219" t="s">
        <v>1144</v>
      </c>
      <c r="CO33" s="219" t="s">
        <v>1144</v>
      </c>
      <c r="CP33" s="219" t="s">
        <v>1144</v>
      </c>
      <c r="CQ33" s="219" t="s">
        <v>1144</v>
      </c>
      <c r="CR33" s="219" t="s">
        <v>1144</v>
      </c>
      <c r="CS33" s="219" t="s">
        <v>1144</v>
      </c>
      <c r="CT33" s="219" t="s">
        <v>1144</v>
      </c>
      <c r="CU33" s="219" t="s">
        <v>1144</v>
      </c>
      <c r="CV33" s="219" t="s">
        <v>1144</v>
      </c>
      <c r="CW33" s="219" t="s">
        <v>1144</v>
      </c>
      <c r="CX33" s="219" t="s">
        <v>1144</v>
      </c>
      <c r="CY33" s="219" t="s">
        <v>1144</v>
      </c>
      <c r="CZ33" s="219" t="s">
        <v>1144</v>
      </c>
      <c r="DA33" s="219" t="s">
        <v>1144</v>
      </c>
      <c r="DB33" s="152" t="str">
        <f t="shared" si="32"/>
        <v xml:space="preserve">Plan de Acción, SGC, PROCESO: Gestión de la Función Archivística y del patrimonio documental del Distrito Capital, </v>
      </c>
      <c r="DC33" s="149" t="str">
        <f t="shared" si="75"/>
        <v xml:space="preserve">Por medio de acciones programadas se contribuye al cumplimiento del plan de trabajo del Consejo Distrital de Archivos de Bogotá de conformidad  con  las funciones que normativamente le han sido asignadas para ejecutarlas y hacer seguimiento a las mismas, con el fin de orientar la gestión de la política archivística en el Distrito Capital. </v>
      </c>
      <c r="DD33" s="149" t="str">
        <f t="shared" si="75"/>
        <v>1. Realizar informe semestral  del Consejo Distrital de Archivos para remitir al Archivo General de la Nación.
2.Realizar las sesiones del Consejo Distrital de Archivos.</v>
      </c>
      <c r="DE33" s="149" t="str">
        <f t="shared" si="75"/>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
      <c r="DF33" s="149" t="str">
        <f t="shared" si="75"/>
        <v>Memorando al Archivo General de la Nación del Informe de gestión del segundo semestre del año 2019 del Consejo Distrital de Archivos D.C. y Actas del Consejo Distrital de Archivos suscritas y publicadas.</v>
      </c>
      <c r="DG33" s="149" t="str">
        <f t="shared" si="75"/>
        <v>Suma</v>
      </c>
      <c r="DH33" s="149">
        <f t="shared" si="2"/>
        <v>3</v>
      </c>
      <c r="DI33" s="149">
        <f t="shared" si="3"/>
        <v>1</v>
      </c>
      <c r="DJ33" s="149">
        <f t="shared" si="4"/>
        <v>0</v>
      </c>
      <c r="DK33" s="149">
        <f t="shared" si="5"/>
        <v>0</v>
      </c>
      <c r="DL33" s="149">
        <f t="shared" si="6"/>
        <v>0</v>
      </c>
      <c r="DM33" s="149">
        <f t="shared" si="7"/>
        <v>1</v>
      </c>
      <c r="DN33" s="149">
        <f t="shared" si="36"/>
        <v>1</v>
      </c>
      <c r="DO33" s="149">
        <f t="shared" si="74"/>
        <v>33.333333333333329</v>
      </c>
      <c r="DP33" s="149">
        <f t="shared" si="74"/>
        <v>0</v>
      </c>
      <c r="DQ33" s="149">
        <f t="shared" si="74"/>
        <v>0</v>
      </c>
      <c r="DR33" s="149">
        <f t="shared" si="74"/>
        <v>0</v>
      </c>
      <c r="DS33" s="149">
        <f t="shared" si="74"/>
        <v>33.333333333333329</v>
      </c>
      <c r="DT33" s="149">
        <f t="shared" si="74"/>
        <v>33.333333333333329</v>
      </c>
      <c r="DU33" s="149">
        <f t="shared" si="76"/>
        <v>100</v>
      </c>
      <c r="DV33" s="149">
        <f t="shared" si="76"/>
        <v>1</v>
      </c>
      <c r="DW33" s="149">
        <f t="shared" si="76"/>
        <v>1</v>
      </c>
      <c r="DX33" s="149" t="str">
        <f t="shared" si="76"/>
        <v xml:space="preserve">Producto:     
 *Se elaboró y remitió al Archivo General de la Nación el informe de gestión del segundo semestre del año 2019 del Consejo Distrital de Archivos de Bogotá, D.C. por medio de la comunicación de radicado 2-2020-380 del 8 de enero del 2020.      
   Gestión:  
  *El dia 22 de enero se realizó la primera sesión del Consejo Distrital de Archivos de Bogotá, D.C. la cual quedó suspendida porque no se alcanzó a cubrir el orden del día en su totalidad en el tiempo citado.
*Se elaboró el plan de trabajo del Consejo Distrital de Archivos de Bogotá, D.C. para la vigencia 2020, el cual fue aprobado provisionalmente en la sesión mencionada.                                                                                                                                                                </v>
      </c>
      <c r="DY33" s="149" t="str">
        <f t="shared" si="76"/>
        <v>No fue posible terminar la sesión del Consejo de este mes, por lo que su continuación quedó  programada via correo electronico para el mes de marzo 2020.</v>
      </c>
      <c r="DZ33" s="149" t="str">
        <f t="shared" si="76"/>
        <v>*La aprobación del plan de trabajo permitirá su implementación a lo largo de la vigencia y el cumplimiento de la misionalidad del Consejo Distrital de Archivos.
*La Dirección Distrital de Archivo de Bogotá, dio cumplimiento con el informe semestral del año 2019 del Consejo Distrital de Archivos.</v>
      </c>
      <c r="EA33" s="149">
        <f t="shared" si="76"/>
        <v>0</v>
      </c>
      <c r="EB33" s="149">
        <f t="shared" si="76"/>
        <v>0</v>
      </c>
      <c r="EC33" s="149" t="str">
        <f t="shared" si="76"/>
        <v xml:space="preserve">                     Gestión:               
 Durante el mes se remitió el plan de trabajo del Consejo Distrital de Archivos de Bogotá, D.C. al Archivo General de la Nación por medio de la comunicación de radicado 2-2020-2869 del 5 de febrero.                                                              </v>
      </c>
      <c r="ED33" s="149" t="str">
        <f t="shared" si="76"/>
        <v>No Aplica</v>
      </c>
      <c r="EE33" s="149" t="str">
        <f t="shared" si="77"/>
        <v>Se oficializa y socializa el  plan de trabajo ante el Archivo General de la Nación las acciones que el Consejo emprenderá durante la vigencia con la Dirección Distrital de Archivo de Bogotá como secretaría técnica.</v>
      </c>
      <c r="EF33" s="149">
        <f t="shared" si="77"/>
        <v>0</v>
      </c>
      <c r="EG33" s="149">
        <f t="shared" si="77"/>
        <v>0</v>
      </c>
      <c r="EH33" s="149" t="str">
        <f t="shared" si="77"/>
        <v xml:space="preserve">                                                                                                                                                    Gestión:                   
  El día 6 de marzo se dió continuación y finalización de la primera sesión de CDA  que comenzó en el mes de enero de forma presencial y se continuo de manera virtual por medio de  correo electrónico.</v>
      </c>
      <c r="EI33" s="149" t="str">
        <f t="shared" si="77"/>
        <v xml:space="preserve"> La continuación de la primera sesión del Consejo Distrital de Archivos de Bogotá se realizó de manera virtual,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           </v>
      </c>
      <c r="EJ33" s="149" t="str">
        <f t="shared" si="77"/>
        <v>Con la finalización de la primera sesión del Consejo de manera virtual se podrá oficializar la convalidación de las Tablas de Retención Documental -TRD y las Tablas de Valoración Documental -TVD que contaron con visto bueno de los miembros, junto con el Acta que se encuentra en revisión, esto permirá a estas entidades hacer el registro de sus tablas ante el Archivo General de la Nación e iniciar su implementación.</v>
      </c>
      <c r="EK33" s="149">
        <f t="shared" si="77"/>
        <v>0</v>
      </c>
      <c r="EL33" s="149">
        <f t="shared" si="77"/>
        <v>0</v>
      </c>
      <c r="EM33" s="149" t="str">
        <f t="shared" si="77"/>
        <v>Gestión: 
Durante este periodo se realizó la segunda sesión ordinaria del Consejo Distrital de Archivos de Bogotá, D.C. el 30 de abril. La sesión se realizó de manera virtual por el aplicativo Teams.</v>
      </c>
      <c r="EN33" s="149" t="str">
        <f t="shared" si="77"/>
        <v>No Aplica</v>
      </c>
      <c r="EO33" s="149" t="str">
        <f t="shared" si="78"/>
        <v>La realización de la segunda sesión del Consejo Distrital de Archivos de Bogotá, D.C. permitió presentar los avances de ejecución del primer trimestre del plan de acción del Consejo y convalidar la actualización de la Tabla de Retención Documental -TRD de la Secretaría Distrital de Cultura, Recreación y Deporte</v>
      </c>
      <c r="EP33" s="149">
        <f t="shared" si="78"/>
        <v>1</v>
      </c>
      <c r="EQ33" s="149">
        <f t="shared" si="78"/>
        <v>1</v>
      </c>
      <c r="ER33" s="149" t="str">
        <f t="shared" si="78"/>
        <v xml:space="preserve">Producto:
 Se suscribió y publicó el acta de la primera sesión del Consejo Distrital de Archivos de Bogotá, D.C. en la página web de la Secretaria General de la Alcaldía Mayor de Bogotá, D.C.   http://archivobogota.secretariageneral.gov.co/sites/default/files/documentos-cda/Acta-primera-CDA-2020.pdf   
Gestión:
El 29 de mayo se realizó la tercera sesión del Consejo Distrital de Archivos de Bogotá, D.C. en la cual se evaluaron las TRD de Contraloría, SDH, SDE , IDARTES, Secretaría de Tercer Milenio y SDM  El acta de esta sesión se proyectará el mes de junio de 2020.
</v>
      </c>
      <c r="ES33" s="149" t="str">
        <f t="shared" si="78"/>
        <v>No Aplica</v>
      </c>
      <c r="ET33" s="149" t="str">
        <f t="shared" si="78"/>
        <v>La ciudadanía puede acceder a la publicación del Acta del Consejo Distrital de Archivos de Bogotá D.C. de acuerdo con la obligación contenida en el artículo 5 del Decreto Distrital 329 de 2019, dando así cumplimiento al acceso a la información por medio de la publicación de la misma, mediante el link: http://archivobogota.secretariageneral.gov.co/sites/default/files/documentos-cda/Acta-primera-CDA-2020.pdf</v>
      </c>
      <c r="EU33" s="149">
        <f t="shared" si="78"/>
        <v>1</v>
      </c>
      <c r="EV33" s="149">
        <f t="shared" si="78"/>
        <v>1</v>
      </c>
      <c r="EW33" s="149" t="str">
        <f t="shared" si="78"/>
        <v>Producto:
Se suscribió y publicó el acta de la segunda sesión del Consejo Distrital de Archivos de Bogotá, D.C. en la página web de la Secretaria General de la Alcaldía Mayor de Bogotá, D.C., en siguiente link:   http://archivobogota.secretariageneral.gov.co/sites/default/files/documentos-cda/Acta-segunda-CDA-2020.pdf</v>
      </c>
      <c r="EX33" s="149" t="str">
        <f t="shared" si="78"/>
        <v>No Aplica</v>
      </c>
      <c r="EY33" s="149" t="str">
        <f t="shared" si="78"/>
        <v>La ciudadanía puede acceder a la publicación del Acta del Consejo Distrital de Archivos de Bogotá D.C. de acuerdo con la obligación contenida en el artículo 5 del Decreto Distrital 329 de 2019, dando así cumplimiento al acceso a la información por medio de la publicación de la misma, mediante el link: http://archivobogota.secretariageneral.gov.co/sites/default/files/documentos-cda/Acta-segunda-CDA-2020.pdf</v>
      </c>
      <c r="EZ33" s="149">
        <f t="shared" si="78"/>
        <v>3</v>
      </c>
      <c r="FA33" s="149">
        <f t="shared" si="78"/>
        <v>3</v>
      </c>
      <c r="FB33" s="149" t="str">
        <f t="shared" si="78"/>
        <v/>
      </c>
      <c r="FC33" s="149" t="str">
        <f t="shared" si="78"/>
        <v/>
      </c>
      <c r="FD33" s="149" t="str">
        <f t="shared" si="79"/>
        <v/>
      </c>
      <c r="FE33" s="149" t="str">
        <f t="shared" si="79"/>
        <v/>
      </c>
      <c r="FF33" s="149" t="str">
        <f t="shared" si="79"/>
        <v/>
      </c>
      <c r="FG33" s="149" t="str">
        <f t="shared" si="79"/>
        <v/>
      </c>
      <c r="FH33" s="149" t="str">
        <f t="shared" si="79"/>
        <v/>
      </c>
      <c r="FI33" s="149" t="str">
        <f t="shared" si="79"/>
        <v/>
      </c>
      <c r="FJ33" s="149" t="str">
        <f t="shared" si="79"/>
        <v/>
      </c>
      <c r="FK33" s="149" t="str">
        <f t="shared" si="79"/>
        <v/>
      </c>
      <c r="FL33" s="149" t="str">
        <f t="shared" si="79"/>
        <v/>
      </c>
      <c r="FM33" s="149" t="str">
        <f t="shared" si="79"/>
        <v/>
      </c>
      <c r="FN33" s="149" t="str">
        <f t="shared" si="80"/>
        <v/>
      </c>
      <c r="FO33" s="149" t="str">
        <f t="shared" si="80"/>
        <v/>
      </c>
      <c r="FP33" s="149" t="str">
        <f t="shared" si="80"/>
        <v/>
      </c>
      <c r="FQ33" s="149" t="str">
        <f t="shared" si="80"/>
        <v/>
      </c>
      <c r="FR33" s="149" t="str">
        <f t="shared" si="80"/>
        <v/>
      </c>
      <c r="FS33" s="149" t="str">
        <f t="shared" si="80"/>
        <v/>
      </c>
      <c r="FT33" s="149" t="str">
        <f t="shared" si="80"/>
        <v/>
      </c>
      <c r="FU33" s="149" t="str">
        <f t="shared" si="80"/>
        <v/>
      </c>
      <c r="FV33" s="149" t="str">
        <f t="shared" si="80"/>
        <v/>
      </c>
      <c r="FW33" s="149" t="str">
        <f t="shared" si="80"/>
        <v/>
      </c>
      <c r="FX33" s="149" t="str">
        <f t="shared" si="81"/>
        <v/>
      </c>
      <c r="FY33" s="149" t="str">
        <f t="shared" si="81"/>
        <v/>
      </c>
      <c r="FZ33" s="149" t="str">
        <f t="shared" si="81"/>
        <v/>
      </c>
      <c r="GA33" s="149" t="str">
        <f t="shared" si="81"/>
        <v/>
      </c>
      <c r="GB33" s="149" t="str">
        <f t="shared" si="81"/>
        <v/>
      </c>
      <c r="GC33" s="149" t="str">
        <f t="shared" si="81"/>
        <v/>
      </c>
      <c r="GD33" s="149" t="str">
        <f t="shared" si="81"/>
        <v/>
      </c>
      <c r="GE33" s="149" t="str">
        <f t="shared" si="81"/>
        <v/>
      </c>
      <c r="GF33" s="149">
        <f t="shared" si="33"/>
        <v>1</v>
      </c>
      <c r="GG33" s="149">
        <f t="shared" si="22"/>
        <v>0</v>
      </c>
      <c r="GH33" s="149">
        <f t="shared" si="23"/>
        <v>0</v>
      </c>
      <c r="GI33" s="149">
        <f t="shared" si="24"/>
        <v>0</v>
      </c>
      <c r="GJ33" s="149">
        <f t="shared" si="25"/>
        <v>1</v>
      </c>
      <c r="GK33" s="149">
        <f t="shared" si="34"/>
        <v>1</v>
      </c>
      <c r="GL33" s="149">
        <f t="shared" si="15"/>
        <v>33.333333333333329</v>
      </c>
      <c r="GM33" s="149">
        <f t="shared" si="16"/>
        <v>0</v>
      </c>
      <c r="GN33" s="149">
        <f t="shared" si="17"/>
        <v>0</v>
      </c>
      <c r="GO33" s="149">
        <f t="shared" si="18"/>
        <v>0</v>
      </c>
      <c r="GP33" s="149">
        <f t="shared" si="19"/>
        <v>33.333333333333329</v>
      </c>
      <c r="GQ33" s="149">
        <f t="shared" si="19"/>
        <v>33.333333333333329</v>
      </c>
      <c r="GR33" s="153">
        <f t="shared" ref="GR33:GR41" si="83">+IF(DG33="Suma",SUM(GL33:GQ33),AVERAGE(GL33:GQ33))</f>
        <v>99.999999999999986</v>
      </c>
      <c r="GS33" s="149">
        <f t="shared" si="37"/>
        <v>100</v>
      </c>
      <c r="GT33" s="149">
        <f>+IF(OR($A33=52,$A33=124),1,IFERROR(IF($X33="Creciente",IF($AB33="Número",SUM($GL33:GM33)/SUM($DO33:DP33)*($AX33-$AW33),SUM($GL33:GM33)/SUM($DO33:DP33))*($AX33-$AW33),IF($DG33="Creciente",GM33*GM33/GM33,IF(AND($DG33="Constante",$AB33="Porcentaje"),AVERAGEIF($GL33:GM33,"&lt;&gt;0")/AVERAGEIF($DO33:DP33,"&lt;&gt;0")*100,SUM($GL33:GM33)/SUM($DO33:DP33)*$DU33))),GS33))</f>
        <v>100</v>
      </c>
      <c r="GU33" s="149">
        <f>+IF(OR($A33=52,$A33=124),1,IFERROR(IF($X33="Creciente",IF($AB33="Número",SUM($GL33:GN33)/SUM($DO33:DQ33)*($AX33-$AW33),SUM($GL33:GN33)/SUM($DO33:DQ33))*($AX33-$AW33),IF($DG33="Creciente",GN33*GN33/GN33,IF(AND($DG33="Constante",$AB33="Porcentaje"),AVERAGEIF($GL33:GN33,"&lt;&gt;0")/AVERAGEIF($DO33:DQ33,"&lt;&gt;0")*100,SUM($GL33:GN33)/SUM($DO33:DQ33)*$DU33))),GT33))</f>
        <v>100</v>
      </c>
      <c r="GV33" s="149">
        <f>+IF(OR($A33=52,$A33=124),1,IFERROR(IF($X33="Creciente",IF($AB33="Número",SUM($GL33:GO33)/SUM($DO33:DR33)*($AX33-$AW33),SUM($GL33:GO33)/SUM($DO33:DR33))*($AX33-$AW33),IF($DG33="Creciente",GO33*GO33/GO33,IF(AND($DG33="Constante",$AB33="Porcentaje"),AVERAGEIF($GL33:GO33,"&lt;&gt;0")/AVERAGEIF($DO33:DR33,"&lt;&gt;0")*100,SUM($GL33:GO33)/SUM($DO33:DR33)*$DU33))),GU33))</f>
        <v>100</v>
      </c>
      <c r="GW33" s="149">
        <f>+IF(OR($A33=52,$A33=124),1,IFERROR(IF($X33="Creciente",IF($AB33="Número",SUM($GL33:GP33)/SUM($DO33:DS33)*($AX33-$AW33),SUM($GL33:GP33)/SUM($DO33:DS33))*($AX33-$AW33),IF($DG33="Creciente",GP33*GP33/GP33,IF(AND($DG33="Constante",$AB33="Porcentaje"),AVERAGEIF($GL33:GP33,"&lt;&gt;0")/AVERAGEIF($DO33:DS33,"&lt;&gt;0")*100,SUM($GL33:GP33)/SUM($DO33:DS33)*$DU33))),GV33))</f>
        <v>100</v>
      </c>
      <c r="GX33" s="149">
        <f>+IF(OR($A33=52,$A33=124),1,IFERROR(IF($X33="Creciente",IF($AB33="Número",SUM($GL33:GQ33)/SUM($DO33:DT33)*($AX33-$AW33),SUM($GL33:GQ33)/SUM($DO33:DT33))*($AX33-$AW33),IF($DG33="Creciente",GQ33*GQ33/GQ33,IF(AND($DG33="Constante",$AB33="Porcentaje"),AVERAGEIF($GL33:GQ33,"&lt;&gt;0")/AVERAGEIF($DO33:DT33,"&lt;&gt;0")*100,SUM($GL33:GQ33)/SUM($DO33:DT33)*$DU33))),GW33))</f>
        <v>100</v>
      </c>
      <c r="GY33" s="149" t="str">
        <f t="shared" si="28"/>
        <v xml:space="preserve">Por medio de acciones programadas se contribuye al cumplimiento del plan de trabajo del Consejo Distrital de Archivos de Bogotá de conformidad  con  las funciones que normativamente le han sido asignadas para ejecutarlas y hacer seguimiento a las mismas, con el fin de orientar la gestión de la política archivística en el Distrito Capital. </v>
      </c>
      <c r="GZ33" s="149" t="str">
        <f t="shared" si="29"/>
        <v>1. Realizar informe semestral  del Consejo Distrital de Archivos para remitir al Archivo General de la Nación.
2.Realizar las sesiones del Consejo Distrital de Archivos.</v>
      </c>
      <c r="HA33" s="149" t="str">
        <f t="shared" si="30"/>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
      <c r="HB33" s="149" t="str">
        <f t="shared" si="31"/>
        <v>Memorando al Archivo General de la Nación del Informe de gestión del segundo semestre del año 2019 del Consejo Distrital de Archivos D.C. y Actas del Consejo Distrital de Archivos suscritas y publicadas.</v>
      </c>
      <c r="HC33" s="149" t="str">
        <f t="shared" si="72"/>
        <v>Cumple</v>
      </c>
      <c r="HD33" s="149" t="str">
        <f t="shared" si="72"/>
        <v>Cumplido</v>
      </c>
      <c r="HE33" s="149" t="str">
        <f t="shared" si="72"/>
        <v>Adecuado</v>
      </c>
      <c r="HF33" s="149" t="str">
        <f t="shared" si="72"/>
        <v>Coherente</v>
      </c>
      <c r="HG33" s="149" t="str">
        <f t="shared" si="72"/>
        <v>Concuerda</v>
      </c>
      <c r="HH33" s="149" t="str">
        <f t="shared" si="72"/>
        <v>No aplica</v>
      </c>
      <c r="HI33" s="149" t="str">
        <f t="shared" si="72"/>
        <v>Relación directa</v>
      </c>
      <c r="HJ33" s="149" t="str">
        <f t="shared" si="72"/>
        <v>Adecuado</v>
      </c>
      <c r="HK33" s="149" t="str">
        <f t="shared" si="72"/>
        <v>Oportuna</v>
      </c>
      <c r="HL33" s="149" t="str">
        <f t="shared" si="72"/>
        <v>No aplica</v>
      </c>
      <c r="HM33" s="149" t="str">
        <f t="shared" si="73"/>
        <v>Bibiana Rodríguez González</v>
      </c>
      <c r="HN33" s="149" t="str">
        <f t="shared" si="73"/>
        <v>No aplica</v>
      </c>
      <c r="HO33" s="149" t="str">
        <f t="shared" si="73"/>
        <v>Cumplido</v>
      </c>
      <c r="HP33" s="149" t="str">
        <f t="shared" si="73"/>
        <v>Adecuado</v>
      </c>
      <c r="HQ33" s="149" t="str">
        <f t="shared" si="73"/>
        <v>Coherente</v>
      </c>
      <c r="HR33" s="149" t="str">
        <f t="shared" si="73"/>
        <v>Concuerda</v>
      </c>
      <c r="HS33" s="149" t="str">
        <f t="shared" si="73"/>
        <v>No aplica</v>
      </c>
      <c r="HT33" s="149" t="str">
        <f t="shared" si="73"/>
        <v>Relación directa</v>
      </c>
      <c r="HU33" s="149" t="str">
        <f t="shared" si="73"/>
        <v>Adecuado</v>
      </c>
      <c r="HV33" s="149" t="str">
        <f t="shared" si="73"/>
        <v>Oportuna</v>
      </c>
      <c r="HW33" s="149" t="str">
        <f t="shared" si="73"/>
        <v>No aplica</v>
      </c>
      <c r="HX33" s="149" t="str">
        <f t="shared" si="73"/>
        <v>Bibiana Rodríguez González</v>
      </c>
    </row>
    <row r="34" spans="1:241" s="447" customFormat="1" x14ac:dyDescent="0.3">
      <c r="A34" s="445" t="s">
        <v>363</v>
      </c>
      <c r="B34" s="446" t="s">
        <v>1144</v>
      </c>
      <c r="C34" s="446" t="s">
        <v>1144</v>
      </c>
      <c r="D34" s="446" t="s">
        <v>1144</v>
      </c>
      <c r="E34" s="446" t="s">
        <v>1144</v>
      </c>
      <c r="F34" s="447" t="s">
        <v>1432</v>
      </c>
      <c r="G34" s="446" t="s">
        <v>1144</v>
      </c>
      <c r="H34" s="446" t="s">
        <v>1144</v>
      </c>
      <c r="I34" s="447" t="s">
        <v>1146</v>
      </c>
      <c r="J34" s="448" t="s">
        <v>99</v>
      </c>
      <c r="K34" s="448" t="s">
        <v>100</v>
      </c>
      <c r="L34" s="448" t="s">
        <v>101</v>
      </c>
      <c r="M34" s="448" t="s">
        <v>1413</v>
      </c>
      <c r="N34" s="448" t="s">
        <v>1414</v>
      </c>
      <c r="O34" s="448" t="s">
        <v>1415</v>
      </c>
      <c r="P34" s="447" t="s">
        <v>1432</v>
      </c>
      <c r="Q34" s="448" t="s">
        <v>1433</v>
      </c>
      <c r="R34" s="448" t="s">
        <v>1434</v>
      </c>
      <c r="S34" s="448" t="s">
        <v>1435</v>
      </c>
      <c r="T34" s="448" t="s">
        <v>1435</v>
      </c>
      <c r="U34" s="448" t="s">
        <v>1436</v>
      </c>
      <c r="V34" s="448" t="s">
        <v>1437</v>
      </c>
      <c r="W34" s="447" t="s">
        <v>601</v>
      </c>
      <c r="X34" s="448" t="s">
        <v>601</v>
      </c>
      <c r="Y34" s="448"/>
      <c r="Z34" s="448" t="s">
        <v>1438</v>
      </c>
      <c r="AA34" s="448" t="s">
        <v>1439</v>
      </c>
      <c r="AB34" s="448" t="s">
        <v>602</v>
      </c>
      <c r="AC34" s="448" t="s">
        <v>1159</v>
      </c>
      <c r="AD34" s="448" t="s">
        <v>1160</v>
      </c>
      <c r="AE34" s="448">
        <v>2019</v>
      </c>
      <c r="AF34" s="448">
        <v>0</v>
      </c>
      <c r="AG34" s="448">
        <v>2019</v>
      </c>
      <c r="AH34" s="448" t="s">
        <v>1161</v>
      </c>
      <c r="AI34" s="448" t="s">
        <v>1161</v>
      </c>
      <c r="AJ34" s="448" t="s">
        <v>1161</v>
      </c>
      <c r="AK34" s="448">
        <v>0.8</v>
      </c>
      <c r="AL34" s="449">
        <v>0.8</v>
      </c>
      <c r="AM34" s="448" t="s">
        <v>1161</v>
      </c>
      <c r="AN34" s="446" t="s">
        <v>1144</v>
      </c>
      <c r="AO34" s="446" t="s">
        <v>1144</v>
      </c>
      <c r="AP34" s="446" t="s">
        <v>1144</v>
      </c>
      <c r="AQ34" s="446" t="s">
        <v>1144</v>
      </c>
      <c r="AR34" s="446" t="s">
        <v>1144</v>
      </c>
      <c r="AS34" s="446" t="s">
        <v>1144</v>
      </c>
      <c r="AT34" s="450" t="s">
        <v>1161</v>
      </c>
      <c r="AU34" s="450" t="s">
        <v>1161</v>
      </c>
      <c r="AV34" s="450" t="s">
        <v>1161</v>
      </c>
      <c r="AW34" s="450">
        <v>80</v>
      </c>
      <c r="AX34" s="451">
        <v>80</v>
      </c>
      <c r="AY34" s="450" t="s">
        <v>1161</v>
      </c>
      <c r="BD34" s="447">
        <v>0</v>
      </c>
      <c r="BJ34" s="447">
        <v>0</v>
      </c>
      <c r="BK34" s="446" t="s">
        <v>1144</v>
      </c>
      <c r="BL34" s="446" t="s">
        <v>1144</v>
      </c>
      <c r="BM34" s="446" t="s">
        <v>1144</v>
      </c>
      <c r="BN34" s="446" t="s">
        <v>1144</v>
      </c>
      <c r="BO34" s="446" t="s">
        <v>1144</v>
      </c>
      <c r="BP34" s="446" t="s">
        <v>1144</v>
      </c>
      <c r="BQ34" s="446" t="s">
        <v>1144</v>
      </c>
      <c r="BR34" s="446" t="s">
        <v>1144</v>
      </c>
      <c r="BS34" s="446" t="s">
        <v>1144</v>
      </c>
      <c r="BT34" s="446" t="s">
        <v>1144</v>
      </c>
      <c r="BU34" s="446" t="s">
        <v>1144</v>
      </c>
      <c r="BV34" s="446" t="s">
        <v>1144</v>
      </c>
      <c r="BW34" s="448" t="s">
        <v>1144</v>
      </c>
      <c r="BX34" s="448" t="s">
        <v>1144</v>
      </c>
      <c r="BY34" s="448" t="s">
        <v>1144</v>
      </c>
      <c r="BZ34" s="448">
        <v>1</v>
      </c>
      <c r="CA34" s="448" t="s">
        <v>1144</v>
      </c>
      <c r="CB34" s="448" t="s">
        <v>1144</v>
      </c>
      <c r="CC34" s="448" t="s">
        <v>1144</v>
      </c>
      <c r="CD34" s="448">
        <v>1</v>
      </c>
      <c r="CE34" s="448" t="s">
        <v>271</v>
      </c>
      <c r="CF34" s="448" t="s">
        <v>1144</v>
      </c>
      <c r="CG34" s="448" t="s">
        <v>1144</v>
      </c>
      <c r="CH34" s="448" t="s">
        <v>1144</v>
      </c>
      <c r="CI34" s="448" t="s">
        <v>1144</v>
      </c>
      <c r="CJ34" s="448" t="s">
        <v>1144</v>
      </c>
      <c r="CK34" s="448" t="s">
        <v>1144</v>
      </c>
      <c r="CL34" s="448" t="s">
        <v>1144</v>
      </c>
      <c r="CM34" s="448" t="s">
        <v>1144</v>
      </c>
      <c r="CN34" s="448" t="s">
        <v>1144</v>
      </c>
      <c r="CO34" s="448" t="s">
        <v>1144</v>
      </c>
      <c r="CP34" s="448" t="s">
        <v>1144</v>
      </c>
      <c r="CQ34" s="448" t="s">
        <v>1144</v>
      </c>
      <c r="CR34" s="448" t="s">
        <v>1144</v>
      </c>
      <c r="CS34" s="448" t="s">
        <v>1144</v>
      </c>
      <c r="CT34" s="448" t="s">
        <v>1144</v>
      </c>
      <c r="CU34" s="448" t="s">
        <v>1144</v>
      </c>
      <c r="CV34" s="448" t="s">
        <v>1144</v>
      </c>
      <c r="CW34" s="448" t="s">
        <v>1144</v>
      </c>
      <c r="CX34" s="448" t="s">
        <v>1144</v>
      </c>
      <c r="CY34" s="448" t="s">
        <v>1144</v>
      </c>
      <c r="CZ34" s="448" t="s">
        <v>1144</v>
      </c>
      <c r="DA34" s="448" t="s">
        <v>1144</v>
      </c>
      <c r="DB34" s="452" t="str">
        <f t="shared" si="32"/>
        <v xml:space="preserve">Plan de Acción, SGC, PROCESO: Fortalecimiento de la administración y la gestión pública Distrital, </v>
      </c>
      <c r="DC34" s="447" t="str">
        <f t="shared" si="75"/>
        <v xml:space="preserve">Establecer el grado de  satisfacción de los servidores formados </v>
      </c>
      <c r="DD34" s="447">
        <f t="shared" si="75"/>
        <v>0</v>
      </c>
      <c r="DE34" s="447" t="str">
        <f t="shared" si="75"/>
        <v xml:space="preserve">Conocer la percepión de los servidores públicos formados  para realizar mejorar en los proceso de la estrategia del programa de formación </v>
      </c>
      <c r="DF34" s="447" t="str">
        <f t="shared" si="75"/>
        <v>Encuesta de satisfacción
Informe de análisis de la encuesta</v>
      </c>
      <c r="DG34" s="447" t="str">
        <f t="shared" si="75"/>
        <v>Constante</v>
      </c>
      <c r="DH34" s="447" t="str">
        <f t="shared" si="2"/>
        <v/>
      </c>
      <c r="DI34" s="447">
        <f t="shared" si="3"/>
        <v>0</v>
      </c>
      <c r="DJ34" s="447">
        <f t="shared" si="4"/>
        <v>0</v>
      </c>
      <c r="DK34" s="447">
        <f t="shared" si="5"/>
        <v>0</v>
      </c>
      <c r="DL34" s="447">
        <f t="shared" si="6"/>
        <v>0</v>
      </c>
      <c r="DM34" s="447">
        <f t="shared" si="7"/>
        <v>0</v>
      </c>
      <c r="DN34" s="447">
        <f t="shared" si="36"/>
        <v>80</v>
      </c>
      <c r="DO34" s="447">
        <f t="shared" ref="DO34:DS35" si="84">IF(OR($A34="31P",$A34="31Q"),0,IF(AND($X34="Constante",$DG34="Constante"),$DU34,IF(AND($AB34="Porcentaje",$X34="Creciente",$DG34="Suma",$AW34&lt;&gt;"No Disponible / No Aplica",IFERROR($AX34-$AW34,0)&gt;0),VLOOKUP($A34,consolidado,MATCH(DO$5,consolidadofila,0),0)/$DH34*$AX34*($AX34-$AW34)/$AX34,IF(AND($AB34="Porcentaje",$X34="Creciente",,$AW34&lt;&gt;"No Disponible / No Aplica",IFERROR($AX34-$AW34,0)&gt;0,OR($DG34="Constante",$DG34="Creciente")),VLOOKUP($A34,consolidado,MATCH(DO$5,consolidadofila,0),0)*($AX34-$AW34)/$AX34,IF(AND($AB34="Número",$X34="Creciente"),VLOOKUP($A34,consolidado,MATCH(DO$5,consolidadofila,0),0),IF(AND($AB34="Porcentaje",$DG34="Suma"),VLOOKUP($A34,consolidado,MATCH(DO$5,consolidadofila,0),0)/$DH34*$AX34,IF(AND($AB34="Porcentaje",OR($DG34="Constante",$DG34="Creciente")),VLOOKUP($A34,consolidado,MATCH(DO$5,consolidadofila,0),0),IF($AB34="Número",VLOOKUP($A34,consolidado,MATCH(DO$5,consolidadofila,0),0)))))))))</f>
        <v>0</v>
      </c>
      <c r="DP34" s="447">
        <f t="shared" si="84"/>
        <v>0</v>
      </c>
      <c r="DQ34" s="447">
        <f t="shared" si="84"/>
        <v>0</v>
      </c>
      <c r="DR34" s="447">
        <f t="shared" si="84"/>
        <v>0</v>
      </c>
      <c r="DS34" s="447">
        <f t="shared" si="84"/>
        <v>0</v>
      </c>
      <c r="DT34" s="447">
        <f t="shared" si="74"/>
        <v>80</v>
      </c>
      <c r="DU34" s="447">
        <f t="shared" si="76"/>
        <v>80</v>
      </c>
      <c r="DV34" s="447">
        <f t="shared" si="76"/>
        <v>0</v>
      </c>
      <c r="DW34" s="447">
        <f t="shared" si="76"/>
        <v>0</v>
      </c>
      <c r="DX34" s="447" t="str">
        <f t="shared" si="76"/>
        <v xml:space="preserve">La aplicaciòn de encuestas se realizarà en el mes de Junio de acuerdo a la programaciòn del Indicador. </v>
      </c>
      <c r="DY34" s="447" t="str">
        <f t="shared" si="76"/>
        <v xml:space="preserve">Este indicador esta programado para el Mes de Junio. </v>
      </c>
      <c r="DZ34" s="447" t="str">
        <f t="shared" si="76"/>
        <v xml:space="preserve">Este indicador esta programado para el Mes de Junio. </v>
      </c>
      <c r="EA34" s="447">
        <f t="shared" si="76"/>
        <v>0</v>
      </c>
      <c r="EB34" s="447">
        <f t="shared" si="76"/>
        <v>0</v>
      </c>
      <c r="EC34" s="447" t="str">
        <f t="shared" si="76"/>
        <v xml:space="preserve">La aplicaciòn de encuestas se realizarà en el mes de Junio de acuerdo a la programaciòn del Indicador. </v>
      </c>
      <c r="ED34" s="447" t="str">
        <f t="shared" si="76"/>
        <v xml:space="preserve">Este indicador esta programado para el Mes de Junio. </v>
      </c>
      <c r="EE34" s="447" t="str">
        <f t="shared" si="77"/>
        <v xml:space="preserve">Este indicador esta programado para el Mes de Junio. </v>
      </c>
      <c r="EF34" s="447">
        <f t="shared" si="77"/>
        <v>0</v>
      </c>
      <c r="EG34" s="447">
        <f t="shared" si="77"/>
        <v>0</v>
      </c>
      <c r="EH34" s="447" t="str">
        <f t="shared" si="77"/>
        <v xml:space="preserve">La aplicaciòn de encuestas se realizarà en el mes de Junio de acuerdo a la programaciòn del Indicador. </v>
      </c>
      <c r="EI34" s="447" t="str">
        <f t="shared" si="77"/>
        <v xml:space="preserve">Este indicador esta programado para el Mes de Junio. </v>
      </c>
      <c r="EJ34" s="447" t="str">
        <f t="shared" si="77"/>
        <v xml:space="preserve">Este indicador esta programado para el Mes de Junio. </v>
      </c>
      <c r="EK34" s="447">
        <f t="shared" si="77"/>
        <v>0</v>
      </c>
      <c r="EL34" s="447">
        <f t="shared" si="77"/>
        <v>0</v>
      </c>
      <c r="EM34" s="447" t="str">
        <f t="shared" si="77"/>
        <v xml:space="preserve">La aplicaciòn de encuestas se realizarà en el mes de Junio de acuerdo a la programaciòn del Indicador. </v>
      </c>
      <c r="EN34" s="447" t="str">
        <f t="shared" si="77"/>
        <v xml:space="preserve">Este indicador esta programado para el Mes de Junio. </v>
      </c>
      <c r="EO34" s="447" t="str">
        <f t="shared" si="78"/>
        <v xml:space="preserve">Este indicador esta programado para el Mes de Junio. </v>
      </c>
      <c r="EP34" s="447">
        <f t="shared" si="78"/>
        <v>0</v>
      </c>
      <c r="EQ34" s="447">
        <f t="shared" si="78"/>
        <v>0</v>
      </c>
      <c r="ER34" s="447" t="str">
        <f t="shared" si="78"/>
        <v xml:space="preserve">La aplicaciòn de encuestas se realizarà en el mes de Junio de acuerdo a la programaciòn del Indicador. </v>
      </c>
      <c r="ES34" s="447" t="str">
        <f t="shared" si="78"/>
        <v xml:space="preserve">Este indicador esta programado para el Mes de Junio. </v>
      </c>
      <c r="ET34" s="447" t="str">
        <f t="shared" si="78"/>
        <v xml:space="preserve">Este indicador esta programado para el Mes de Junio. </v>
      </c>
      <c r="EU34" s="447">
        <f t="shared" si="78"/>
        <v>90.8</v>
      </c>
      <c r="EV34" s="447">
        <f t="shared" si="78"/>
        <v>100</v>
      </c>
      <c r="EW34" s="447" t="str">
        <f t="shared" si="78"/>
        <v>Se aplica encuesta de satisfacción del programa de formación Soy 10 Aprende, liderado por la Dirección y Subdirección Técnica de Desarrollo Institucional, correspondiente al primer semestre 2020 de los servidores que participaron en  la oferta académica desarrollada: 
Gobernanza pública, contextualización desde los pilares de transparencia, participación y colaboración
Teletrabajo para Servidores en Teletrabajo Extraordinario y Trabajo en Casa
Introducción a las Políticas Públicas: Conceptos Básicos
Cultura de Integridad para Gestores.</v>
      </c>
      <c r="EX34" s="447" t="str">
        <f t="shared" si="78"/>
        <v xml:space="preserve">No se reportaron retrasos ni dificultades en la gestión de acompañamiento de oferta academica Soy10 Aprende. </v>
      </c>
      <c r="EY34" s="447" t="str">
        <f t="shared" si="78"/>
        <v>Como beneficios es importante resaltar que los encuestados, manifiestan que participarían nuevamente en procesos de formación Soy 10 Aprende para la siguiente vigencia, esto además de potencializar el programa, genera nuevos retos en lo que corresponde a plataforma tecnológica, gestión tutor, administración, material de estudio y soporte entre otras.</v>
      </c>
      <c r="EZ34" s="447">
        <f t="shared" si="78"/>
        <v>90.8</v>
      </c>
      <c r="FA34" s="447">
        <f t="shared" si="78"/>
        <v>100</v>
      </c>
      <c r="FB34" s="447" t="str">
        <f t="shared" si="78"/>
        <v/>
      </c>
      <c r="FC34" s="447" t="str">
        <f t="shared" si="78"/>
        <v/>
      </c>
      <c r="FD34" s="447" t="str">
        <f t="shared" si="79"/>
        <v/>
      </c>
      <c r="FE34" s="447" t="str">
        <f t="shared" si="79"/>
        <v/>
      </c>
      <c r="FF34" s="447" t="str">
        <f t="shared" si="79"/>
        <v/>
      </c>
      <c r="FG34" s="447" t="str">
        <f t="shared" si="79"/>
        <v/>
      </c>
      <c r="FH34" s="447" t="str">
        <f t="shared" si="79"/>
        <v/>
      </c>
      <c r="FI34" s="447" t="str">
        <f t="shared" si="79"/>
        <v/>
      </c>
      <c r="FJ34" s="447" t="str">
        <f t="shared" si="79"/>
        <v/>
      </c>
      <c r="FK34" s="447" t="str">
        <f t="shared" si="79"/>
        <v/>
      </c>
      <c r="FL34" s="447" t="str">
        <f t="shared" si="79"/>
        <v/>
      </c>
      <c r="FM34" s="447" t="str">
        <f t="shared" si="79"/>
        <v/>
      </c>
      <c r="FN34" s="447" t="str">
        <f t="shared" si="80"/>
        <v/>
      </c>
      <c r="FO34" s="447" t="str">
        <f t="shared" si="80"/>
        <v/>
      </c>
      <c r="FP34" s="447" t="str">
        <f t="shared" si="80"/>
        <v/>
      </c>
      <c r="FQ34" s="447" t="str">
        <f t="shared" si="80"/>
        <v/>
      </c>
      <c r="FR34" s="447" t="str">
        <f t="shared" si="80"/>
        <v/>
      </c>
      <c r="FS34" s="447" t="str">
        <f t="shared" si="80"/>
        <v/>
      </c>
      <c r="FT34" s="447" t="str">
        <f t="shared" si="80"/>
        <v/>
      </c>
      <c r="FU34" s="447" t="str">
        <f t="shared" si="80"/>
        <v/>
      </c>
      <c r="FV34" s="447" t="str">
        <f t="shared" si="80"/>
        <v/>
      </c>
      <c r="FW34" s="447" t="str">
        <f t="shared" si="80"/>
        <v/>
      </c>
      <c r="FX34" s="447" t="str">
        <f t="shared" si="81"/>
        <v/>
      </c>
      <c r="FY34" s="447" t="str">
        <f t="shared" si="81"/>
        <v/>
      </c>
      <c r="FZ34" s="447" t="str">
        <f t="shared" si="81"/>
        <v/>
      </c>
      <c r="GA34" s="447" t="str">
        <f t="shared" si="81"/>
        <v/>
      </c>
      <c r="GB34" s="447" t="str">
        <f t="shared" si="81"/>
        <v/>
      </c>
      <c r="GC34" s="447" t="str">
        <f t="shared" si="81"/>
        <v/>
      </c>
      <c r="GD34" s="447" t="str">
        <f t="shared" si="81"/>
        <v/>
      </c>
      <c r="GE34" s="447" t="str">
        <f t="shared" si="81"/>
        <v/>
      </c>
      <c r="GF34" s="447">
        <f t="shared" si="33"/>
        <v>0</v>
      </c>
      <c r="GG34" s="447">
        <f t="shared" si="22"/>
        <v>0</v>
      </c>
      <c r="GH34" s="447">
        <f t="shared" si="23"/>
        <v>0</v>
      </c>
      <c r="GI34" s="447">
        <f t="shared" si="24"/>
        <v>0</v>
      </c>
      <c r="GJ34" s="447">
        <f t="shared" si="25"/>
        <v>0</v>
      </c>
      <c r="GK34" s="447">
        <f t="shared" si="34"/>
        <v>0.90799999999999992</v>
      </c>
      <c r="GL34" s="447" t="e">
        <f t="shared" si="15"/>
        <v>#VALUE!</v>
      </c>
      <c r="GM34" s="447" t="e">
        <f t="shared" si="16"/>
        <v>#VALUE!</v>
      </c>
      <c r="GN34" s="447" t="e">
        <f t="shared" si="17"/>
        <v>#VALUE!</v>
      </c>
      <c r="GO34" s="447" t="e">
        <f t="shared" si="18"/>
        <v>#VALUE!</v>
      </c>
      <c r="GP34" s="447" t="e">
        <f t="shared" si="19"/>
        <v>#VALUE!</v>
      </c>
      <c r="GQ34" s="447">
        <f t="shared" si="19"/>
        <v>90.8</v>
      </c>
      <c r="GR34" s="453" t="e">
        <f t="shared" si="83"/>
        <v>#VALUE!</v>
      </c>
      <c r="GS34" s="447" t="str">
        <f t="shared" si="37"/>
        <v>No Programó</v>
      </c>
      <c r="GT34" s="447" t="str">
        <f>+IF(OR($A34=52,$A34=124),1,IFERROR(IF($X34="Creciente",IF($AB34="Número",SUM($GL34:GM34)/SUM($DO34:DP34)*($AX34-$AW34),SUM($GL34:GM34)/SUM($DO34:DP34))*($AX34-$AW34),IF($DG34="Creciente",GM34*GM34/GM34,IF(AND($DG34="Constante",$AB34="Porcentaje"),AVERAGEIF($GL34:GM34,"&lt;&gt;0")/AVERAGEIF($DO34:DP34,"&lt;&gt;0")*100,SUM($GL34:GM34)/SUM($DO34:DP34)*$DU34))),GS34))</f>
        <v>No Programó</v>
      </c>
      <c r="GU34" s="447" t="str">
        <f>+IF(OR($A34=52,$A34=124),1,IFERROR(IF($X34="Creciente",IF($AB34="Número",SUM($GL34:GN34)/SUM($DO34:DQ34)*($AX34-$AW34),SUM($GL34:GN34)/SUM($DO34:DQ34))*($AX34-$AW34),IF($DG34="Creciente",GN34*GN34/GN34,IF(AND($DG34="Constante",$AB34="Porcentaje"),AVERAGEIF($GL34:GN34,"&lt;&gt;0")/AVERAGEIF($DO34:DQ34,"&lt;&gt;0")*100,SUM($GL34:GN34)/SUM($DO34:DQ34)*$DU34))),GT34))</f>
        <v>No Programó</v>
      </c>
      <c r="GV34" s="447" t="str">
        <f>+IF(OR($A34=52,$A34=124),1,IFERROR(IF($X34="Creciente",IF($AB34="Número",SUM($GL34:GO34)/SUM($DO34:DR34)*($AX34-$AW34),SUM($GL34:GO34)/SUM($DO34:DR34))*($AX34-$AW34),IF($DG34="Creciente",GO34*GO34/GO34,IF(AND($DG34="Constante",$AB34="Porcentaje"),AVERAGEIF($GL34:GO34,"&lt;&gt;0")/AVERAGEIF($DO34:DR34,"&lt;&gt;0")*100,SUM($GL34:GO34)/SUM($DO34:DR34)*$DU34))),GU34))</f>
        <v>No Programó</v>
      </c>
      <c r="GW34" s="447" t="str">
        <f>+IF(OR($A34=52,$A34=124),1,IFERROR(IF($X34="Creciente",IF($AB34="Número",SUM($GL34:GP34)/SUM($DO34:DS34)*($AX34-$AW34),SUM($GL34:GP34)/SUM($DO34:DS34))*($AX34-$AW34),IF($DG34="Creciente",GP34*GP34/GP34,IF(AND($DG34="Constante",$AB34="Porcentaje"),AVERAGEIF($GL34:GP34,"&lt;&gt;0")/AVERAGEIF($DO34:DS34,"&lt;&gt;0")*100,SUM($GL34:GP34)/SUM($DO34:DS34)*$DU34))),GV34))</f>
        <v>No Programó</v>
      </c>
      <c r="GX34" s="447">
        <f>+(GQ34/DU34)*100</f>
        <v>113.5</v>
      </c>
      <c r="GY34" s="447" t="str">
        <f t="shared" si="28"/>
        <v xml:space="preserve">Establecer el grado de  satisfacción de los servidores formados </v>
      </c>
      <c r="GZ34" s="447">
        <f t="shared" si="29"/>
        <v>0</v>
      </c>
      <c r="HA34" s="447" t="str">
        <f t="shared" si="30"/>
        <v xml:space="preserve">Conocer la percepión de los servidores públicos formados  para realizar mejorar en los proceso de la estrategia del programa de formación </v>
      </c>
      <c r="HB34" s="447" t="str">
        <f t="shared" si="31"/>
        <v>Encuesta de satisfacción
Informe de análisis de la encuesta</v>
      </c>
      <c r="HC34" s="447" t="str">
        <f t="shared" si="72"/>
        <v>Cumple</v>
      </c>
      <c r="HD34" s="447" t="str">
        <f t="shared" si="72"/>
        <v>No programó</v>
      </c>
      <c r="HE34" s="447" t="str">
        <f t="shared" si="72"/>
        <v>No aplica</v>
      </c>
      <c r="HF34" s="447" t="str">
        <f t="shared" si="72"/>
        <v>No aplica</v>
      </c>
      <c r="HG34" s="447" t="str">
        <f t="shared" si="72"/>
        <v>No aplica</v>
      </c>
      <c r="HH34" s="447" t="str">
        <f t="shared" si="72"/>
        <v>No aplica</v>
      </c>
      <c r="HI34" s="447">
        <f t="shared" si="72"/>
        <v>0</v>
      </c>
      <c r="HJ34" s="447" t="str">
        <f t="shared" si="72"/>
        <v>No aplica</v>
      </c>
      <c r="HK34" s="447" t="str">
        <f t="shared" si="72"/>
        <v>Oportuna</v>
      </c>
      <c r="HL34" s="447" t="str">
        <f t="shared" si="72"/>
        <v>Para el periodo de reporte el indicador no presenta avance teniendo en cuenta que su programación es para el mes de junio</v>
      </c>
      <c r="HM34" s="447" t="str">
        <f t="shared" si="73"/>
        <v>Marcela Andrea García Guerrero</v>
      </c>
      <c r="HN34" s="447">
        <f t="shared" si="73"/>
        <v>0</v>
      </c>
      <c r="HO34" s="447" t="str">
        <f t="shared" si="73"/>
        <v>Cumplido</v>
      </c>
      <c r="HP34" s="447" t="str">
        <f t="shared" si="73"/>
        <v>Adecuado</v>
      </c>
      <c r="HQ34" s="447" t="str">
        <f t="shared" si="73"/>
        <v>Coherente</v>
      </c>
      <c r="HR34" s="447" t="str">
        <f t="shared" si="73"/>
        <v>Concuerda</v>
      </c>
      <c r="HS34" s="447" t="str">
        <f t="shared" si="73"/>
        <v>Concuerda</v>
      </c>
      <c r="HT34" s="447">
        <f t="shared" si="73"/>
        <v>0</v>
      </c>
      <c r="HU34" s="447" t="str">
        <f t="shared" si="73"/>
        <v>Adecuado</v>
      </c>
      <c r="HV34" s="447" t="str">
        <f t="shared" si="73"/>
        <v>Oportuna</v>
      </c>
      <c r="HW34" s="447" t="str">
        <f t="shared" si="73"/>
        <v>Ninguna</v>
      </c>
      <c r="HX34" s="447" t="str">
        <f t="shared" si="73"/>
        <v>Marcela Andrea García Guerrero</v>
      </c>
    </row>
    <row r="35" spans="1:241" s="447" customFormat="1" x14ac:dyDescent="0.3">
      <c r="A35" s="445" t="s">
        <v>365</v>
      </c>
      <c r="B35" s="446" t="s">
        <v>1144</v>
      </c>
      <c r="C35" s="446" t="s">
        <v>1144</v>
      </c>
      <c r="D35" s="446" t="s">
        <v>1144</v>
      </c>
      <c r="E35" s="446" t="s">
        <v>1144</v>
      </c>
      <c r="F35" s="447" t="s">
        <v>1440</v>
      </c>
      <c r="G35" s="446" t="s">
        <v>1144</v>
      </c>
      <c r="H35" s="446" t="s">
        <v>1144</v>
      </c>
      <c r="I35" s="447" t="s">
        <v>1146</v>
      </c>
      <c r="J35" s="448" t="s">
        <v>99</v>
      </c>
      <c r="K35" s="448" t="s">
        <v>100</v>
      </c>
      <c r="L35" s="448" t="s">
        <v>101</v>
      </c>
      <c r="M35" s="448" t="s">
        <v>1413</v>
      </c>
      <c r="N35" s="448" t="s">
        <v>1414</v>
      </c>
      <c r="O35" s="448" t="s">
        <v>1415</v>
      </c>
      <c r="P35" s="447" t="s">
        <v>1440</v>
      </c>
      <c r="Q35" s="448" t="s">
        <v>1441</v>
      </c>
      <c r="R35" s="448" t="s">
        <v>1442</v>
      </c>
      <c r="S35" s="448" t="s">
        <v>1443</v>
      </c>
      <c r="T35" s="448" t="s">
        <v>1443</v>
      </c>
      <c r="U35" s="448" t="s">
        <v>1444</v>
      </c>
      <c r="V35" s="448" t="s">
        <v>1445</v>
      </c>
      <c r="W35" s="447" t="s">
        <v>601</v>
      </c>
      <c r="X35" s="448" t="s">
        <v>601</v>
      </c>
      <c r="Y35" s="448"/>
      <c r="Z35" s="448" t="s">
        <v>1446</v>
      </c>
      <c r="AA35" s="448" t="s">
        <v>1439</v>
      </c>
      <c r="AB35" s="448" t="s">
        <v>602</v>
      </c>
      <c r="AC35" s="448" t="s">
        <v>1159</v>
      </c>
      <c r="AD35" s="448" t="s">
        <v>1160</v>
      </c>
      <c r="AE35" s="448">
        <v>2019</v>
      </c>
      <c r="AF35" s="448">
        <v>0</v>
      </c>
      <c r="AG35" s="448">
        <v>2019</v>
      </c>
      <c r="AH35" s="448" t="s">
        <v>1161</v>
      </c>
      <c r="AI35" s="448" t="s">
        <v>1161</v>
      </c>
      <c r="AJ35" s="448" t="s">
        <v>1161</v>
      </c>
      <c r="AK35" s="448">
        <v>0.8</v>
      </c>
      <c r="AL35" s="449">
        <v>0.8</v>
      </c>
      <c r="AM35" s="448" t="s">
        <v>1161</v>
      </c>
      <c r="AN35" s="446" t="s">
        <v>1144</v>
      </c>
      <c r="AO35" s="446" t="s">
        <v>1144</v>
      </c>
      <c r="AP35" s="446" t="s">
        <v>1144</v>
      </c>
      <c r="AQ35" s="446" t="s">
        <v>1144</v>
      </c>
      <c r="AR35" s="446" t="s">
        <v>1144</v>
      </c>
      <c r="AS35" s="446" t="s">
        <v>1144</v>
      </c>
      <c r="AT35" s="450" t="s">
        <v>1161</v>
      </c>
      <c r="AU35" s="450" t="s">
        <v>1161</v>
      </c>
      <c r="AV35" s="450" t="s">
        <v>1161</v>
      </c>
      <c r="AW35" s="450">
        <v>80</v>
      </c>
      <c r="AX35" s="451">
        <v>80</v>
      </c>
      <c r="AY35" s="450" t="s">
        <v>1161</v>
      </c>
      <c r="BD35" s="447">
        <v>0</v>
      </c>
      <c r="BJ35" s="447">
        <v>0</v>
      </c>
      <c r="BK35" s="446" t="s">
        <v>1144</v>
      </c>
      <c r="BL35" s="446" t="s">
        <v>1144</v>
      </c>
      <c r="BM35" s="446" t="s">
        <v>1144</v>
      </c>
      <c r="BN35" s="446" t="s">
        <v>1144</v>
      </c>
      <c r="BO35" s="446" t="s">
        <v>1144</v>
      </c>
      <c r="BP35" s="446" t="s">
        <v>1144</v>
      </c>
      <c r="BQ35" s="446" t="s">
        <v>1144</v>
      </c>
      <c r="BR35" s="446" t="s">
        <v>1144</v>
      </c>
      <c r="BS35" s="446" t="s">
        <v>1144</v>
      </c>
      <c r="BT35" s="446" t="s">
        <v>1144</v>
      </c>
      <c r="BU35" s="446" t="s">
        <v>1144</v>
      </c>
      <c r="BV35" s="446" t="s">
        <v>1144</v>
      </c>
      <c r="BW35" s="448" t="s">
        <v>1144</v>
      </c>
      <c r="BX35" s="448" t="s">
        <v>1144</v>
      </c>
      <c r="BY35" s="448" t="s">
        <v>1144</v>
      </c>
      <c r="BZ35" s="448">
        <v>1</v>
      </c>
      <c r="CA35" s="448" t="s">
        <v>1144</v>
      </c>
      <c r="CB35" s="448" t="s">
        <v>1144</v>
      </c>
      <c r="CC35" s="448" t="s">
        <v>1144</v>
      </c>
      <c r="CD35" s="448">
        <v>1</v>
      </c>
      <c r="CE35" s="448" t="s">
        <v>271</v>
      </c>
      <c r="CF35" s="448" t="s">
        <v>1144</v>
      </c>
      <c r="CG35" s="448" t="s">
        <v>1144</v>
      </c>
      <c r="CH35" s="448" t="s">
        <v>1144</v>
      </c>
      <c r="CI35" s="448" t="s">
        <v>1144</v>
      </c>
      <c r="CJ35" s="448" t="s">
        <v>1144</v>
      </c>
      <c r="CK35" s="448" t="s">
        <v>1144</v>
      </c>
      <c r="CL35" s="448" t="s">
        <v>1144</v>
      </c>
      <c r="CM35" s="448" t="s">
        <v>1144</v>
      </c>
      <c r="CN35" s="448" t="s">
        <v>1144</v>
      </c>
      <c r="CO35" s="448" t="s">
        <v>1144</v>
      </c>
      <c r="CP35" s="448" t="s">
        <v>1144</v>
      </c>
      <c r="CQ35" s="448" t="s">
        <v>1144</v>
      </c>
      <c r="CR35" s="448" t="s">
        <v>1144</v>
      </c>
      <c r="CS35" s="448" t="s">
        <v>1144</v>
      </c>
      <c r="CT35" s="448" t="s">
        <v>1144</v>
      </c>
      <c r="CU35" s="448" t="s">
        <v>1144</v>
      </c>
      <c r="CV35" s="448" t="s">
        <v>1144</v>
      </c>
      <c r="CW35" s="448" t="s">
        <v>1144</v>
      </c>
      <c r="CX35" s="448" t="s">
        <v>1144</v>
      </c>
      <c r="CY35" s="448" t="s">
        <v>1144</v>
      </c>
      <c r="CZ35" s="448" t="s">
        <v>1144</v>
      </c>
      <c r="DA35" s="448" t="s">
        <v>1144</v>
      </c>
      <c r="DB35" s="452" t="str">
        <f>IF(BW35="No Aplica","",$BW$5)&amp;IF(BX35="No Aplica","",$BX$5)&amp;IF(BY35="No Aplica","",$BY$5)&amp;IF(BZ35="No Aplica","",$BZ$5)&amp;IF(CA35="No Aplica","",$CA$5)&amp;IF(CB35="No Aplica","",CB35&amp;" ")&amp;IF(CC35="No Aplica","",CC35&amp;", ")&amp;IF(CD35="No Aplica","",$CD$5)&amp;IF(CE35="No Aplica","",$CE$5&amp;CE35&amp;", ")&amp;IF(CF35="No Aplica","",$CF$5)&amp;IF(CG35="No Aplica","",$CG$5)&amp;IF(CH35="No Aplica","",$CH$5)&amp;IF(CI35="No Aplica","",$CI$5)&amp;IF(CJ35="No Aplica","",$CJ$5)&amp;IF(CK35="No Aplica","",$CK$5)&amp;IF(CL35="No Aplica","",$CL$5)&amp;IF(CM35="No Aplica","",$CM$5)&amp;IF(CN35="No Aplica","",$CN$5)&amp;IF(CO35="No Aplica","",$CO$5)&amp;IF(CP35="No Aplica","",$CP$5)&amp;IF(CQ35="No Aplica","",$CQ$5)&amp;IF(CR35="No Aplica","",$CR$5)&amp;IF(CS35="No Aplica","",$CS$5)&amp;IF(CT35="No Aplica","",$CT$5)&amp;IF(CU35="No Aplica","",$CU$5)&amp;IF(CV35="No Aplica","",$CV$5)&amp;IF(CW35="No Aplica","",CW35&amp;", ")&amp;IF(CX35="No Aplica","",$CX$5&amp;CX35&amp;", ")&amp;IF(CY35="No Aplica","",$CY$5)&amp;IF(CZ35="No Aplica","",$CZ$5)&amp;IF(DA35="No Aplica","",$DA$5)</f>
        <v xml:space="preserve">Plan de Acción, SGC, PROCESO: Fortalecimiento de la administración y la gestión pública Distrital, </v>
      </c>
      <c r="DC35" s="447" t="str">
        <f t="shared" si="75"/>
        <v xml:space="preserve">Establecer el grado de  de satisfacción de  las entidades distritales frente a los servicios prestados </v>
      </c>
      <c r="DD35" s="447">
        <f t="shared" si="75"/>
        <v>0</v>
      </c>
      <c r="DE35" s="447" t="str">
        <f t="shared" si="75"/>
        <v>Conocer la percepión de las entidades públicas que han requeridos servicios para realizar la mejora de la oferta institucional</v>
      </c>
      <c r="DF35" s="447" t="str">
        <f t="shared" si="75"/>
        <v>Encuesta de satisfacción
Informe de análisis de la encuesta</v>
      </c>
      <c r="DG35" s="447" t="str">
        <f t="shared" si="75"/>
        <v>Constante</v>
      </c>
      <c r="DH35" s="447" t="str">
        <f t="shared" si="2"/>
        <v/>
      </c>
      <c r="DI35" s="447">
        <f t="shared" si="3"/>
        <v>0</v>
      </c>
      <c r="DJ35" s="447">
        <f t="shared" si="4"/>
        <v>0</v>
      </c>
      <c r="DK35" s="447">
        <f t="shared" si="5"/>
        <v>0</v>
      </c>
      <c r="DL35" s="447">
        <f t="shared" si="6"/>
        <v>0</v>
      </c>
      <c r="DM35" s="447">
        <f t="shared" si="7"/>
        <v>0</v>
      </c>
      <c r="DN35" s="447">
        <f t="shared" si="36"/>
        <v>80</v>
      </c>
      <c r="DO35" s="447">
        <f t="shared" si="84"/>
        <v>0</v>
      </c>
      <c r="DP35" s="447">
        <f t="shared" si="84"/>
        <v>0</v>
      </c>
      <c r="DQ35" s="447">
        <f t="shared" si="84"/>
        <v>0</v>
      </c>
      <c r="DR35" s="447">
        <f t="shared" si="84"/>
        <v>0</v>
      </c>
      <c r="DS35" s="447">
        <f t="shared" si="84"/>
        <v>0</v>
      </c>
      <c r="DT35" s="447">
        <f t="shared" si="74"/>
        <v>80</v>
      </c>
      <c r="DU35" s="447">
        <f t="shared" si="76"/>
        <v>80</v>
      </c>
      <c r="DV35" s="447">
        <f t="shared" si="76"/>
        <v>0</v>
      </c>
      <c r="DW35" s="447">
        <f t="shared" si="76"/>
        <v>0</v>
      </c>
      <c r="DX35" s="447" t="str">
        <f t="shared" si="76"/>
        <v xml:space="preserve">La aplicaciòn de encuestas se realizarà en el mes de Junio de acuerdo a la programaciòn del Indicador. </v>
      </c>
      <c r="DY35" s="447" t="str">
        <f t="shared" si="76"/>
        <v xml:space="preserve">Este indicador esta programado para el Mes de Junio. </v>
      </c>
      <c r="DZ35" s="447" t="str">
        <f t="shared" si="76"/>
        <v xml:space="preserve">Este indicador esta programado para el Mes de Junio. </v>
      </c>
      <c r="EA35" s="447">
        <f t="shared" si="76"/>
        <v>0</v>
      </c>
      <c r="EB35" s="447">
        <f t="shared" si="76"/>
        <v>0</v>
      </c>
      <c r="EC35" s="447" t="str">
        <f t="shared" si="76"/>
        <v xml:space="preserve">La aplicaciòn de encuestas se realizarà en el mes de Junio de acuerdo a la programaciòn del Indicador. </v>
      </c>
      <c r="ED35" s="447" t="str">
        <f t="shared" si="76"/>
        <v xml:space="preserve">Este indicador esta programado para el Mes de Junio. </v>
      </c>
      <c r="EE35" s="447" t="str">
        <f t="shared" si="77"/>
        <v xml:space="preserve">Este indicador esta programado para el Mes de Junio. </v>
      </c>
      <c r="EF35" s="447">
        <f t="shared" si="77"/>
        <v>0</v>
      </c>
      <c r="EG35" s="447">
        <f t="shared" si="77"/>
        <v>0</v>
      </c>
      <c r="EH35" s="447" t="str">
        <f t="shared" si="77"/>
        <v xml:space="preserve">La aplicaciòn de encuestas se realizarà en el mes de Junio de acuerdo a la programaciòn del Indicador. </v>
      </c>
      <c r="EI35" s="447" t="str">
        <f t="shared" si="77"/>
        <v xml:space="preserve">Este indicador esta programado para el Mes de Junio. </v>
      </c>
      <c r="EJ35" s="447" t="str">
        <f t="shared" si="77"/>
        <v xml:space="preserve">Este indicador esta programado para el Mes de Junio. </v>
      </c>
      <c r="EK35" s="447">
        <f t="shared" si="77"/>
        <v>0</v>
      </c>
      <c r="EL35" s="447">
        <f t="shared" si="77"/>
        <v>0</v>
      </c>
      <c r="EM35" s="447" t="str">
        <f t="shared" si="77"/>
        <v xml:space="preserve">La aplicaciòn de encuestas se realizarà en el mes de Junio de acuerdo a la programaciòn del Indicador. </v>
      </c>
      <c r="EN35" s="447" t="str">
        <f t="shared" si="77"/>
        <v xml:space="preserve">Este indicador esta programado para el Mes de Junio. </v>
      </c>
      <c r="EO35" s="447" t="str">
        <f t="shared" si="78"/>
        <v xml:space="preserve">Este indicador esta programado para el Mes de Junio. </v>
      </c>
      <c r="EP35" s="447">
        <f t="shared" si="78"/>
        <v>0</v>
      </c>
      <c r="EQ35" s="447">
        <f t="shared" si="78"/>
        <v>0</v>
      </c>
      <c r="ER35" s="447" t="str">
        <f t="shared" si="78"/>
        <v xml:space="preserve">La aplicaciòn de encuestas se realizarà en el mes de Junio de acuerdo a la programaciòn del Indicador. </v>
      </c>
      <c r="ES35" s="447" t="str">
        <f t="shared" si="78"/>
        <v xml:space="preserve">Este indicador esta programado para el Mes de Junio. </v>
      </c>
      <c r="ET35" s="447" t="str">
        <f t="shared" si="78"/>
        <v xml:space="preserve">Este indicador esta programado para el Mes de Junio. </v>
      </c>
      <c r="EU35" s="447">
        <f t="shared" si="78"/>
        <v>96</v>
      </c>
      <c r="EV35" s="447">
        <f t="shared" si="78"/>
        <v>100</v>
      </c>
      <c r="EW35" s="447" t="str">
        <f t="shared" si="78"/>
        <v xml:space="preserve">Se aplica  encuesta de satisfacciòn frente a la Estrategia de Teletrabajo, dirigida a 53 entidades y
organismos del orden distrital en donde el Teletrabajo fue implementado con el apoyo,
acompañamiento y asistencia técnica por parte del Equipo Técnico de la Dirección Distrital de Desarrollo
Institucional, a cargo de la implementación de la Estrategia. </v>
      </c>
      <c r="EX35" s="447" t="str">
        <f t="shared" si="78"/>
        <v xml:space="preserve">No se reportaron retrasos ni dificultades en la gestión de acompañamiento de la Estrategia de Teletrabajo. </v>
      </c>
      <c r="EY35" s="447" t="str">
        <f t="shared" si="78"/>
        <v xml:space="preserve">las entidades y organismos distritales encuestados manifiestan su total satisfacción por el
pertinente y oportuno apoyo profesional que facilita la Dirección Distrital de Desarrollo Institucional de
la Secretaría General de la Alcaldía Mayor de Bogotá, en los diferentes momentos de Adopción,
Implementación y Seguimiento de la Estrategia de Teletrabajo pese a las circunstancias que vive la
ciudad por la emergencia sanitaria. </v>
      </c>
      <c r="EZ35" s="447">
        <f t="shared" si="78"/>
        <v>96</v>
      </c>
      <c r="FA35" s="447">
        <f t="shared" si="78"/>
        <v>100</v>
      </c>
      <c r="FB35" s="447" t="str">
        <f t="shared" si="78"/>
        <v/>
      </c>
      <c r="FC35" s="447" t="str">
        <f t="shared" si="78"/>
        <v/>
      </c>
      <c r="FD35" s="447" t="str">
        <f t="shared" si="79"/>
        <v/>
      </c>
      <c r="FE35" s="447" t="str">
        <f t="shared" si="79"/>
        <v/>
      </c>
      <c r="FF35" s="447" t="str">
        <f t="shared" si="79"/>
        <v/>
      </c>
      <c r="FG35" s="447" t="str">
        <f t="shared" si="79"/>
        <v/>
      </c>
      <c r="FH35" s="447" t="str">
        <f t="shared" si="79"/>
        <v/>
      </c>
      <c r="FI35" s="447" t="str">
        <f t="shared" si="79"/>
        <v/>
      </c>
      <c r="FJ35" s="447" t="str">
        <f t="shared" si="79"/>
        <v/>
      </c>
      <c r="FK35" s="447" t="str">
        <f t="shared" si="79"/>
        <v/>
      </c>
      <c r="FL35" s="447" t="str">
        <f t="shared" si="79"/>
        <v/>
      </c>
      <c r="FM35" s="447" t="str">
        <f t="shared" si="79"/>
        <v/>
      </c>
      <c r="FN35" s="447" t="str">
        <f t="shared" si="80"/>
        <v/>
      </c>
      <c r="FO35" s="447" t="str">
        <f t="shared" si="80"/>
        <v/>
      </c>
      <c r="FP35" s="447" t="str">
        <f t="shared" si="80"/>
        <v/>
      </c>
      <c r="FQ35" s="447" t="str">
        <f t="shared" si="80"/>
        <v/>
      </c>
      <c r="FR35" s="447" t="str">
        <f t="shared" si="80"/>
        <v/>
      </c>
      <c r="FS35" s="447" t="str">
        <f t="shared" si="80"/>
        <v/>
      </c>
      <c r="FT35" s="447" t="str">
        <f t="shared" si="80"/>
        <v/>
      </c>
      <c r="FU35" s="447" t="str">
        <f t="shared" si="80"/>
        <v/>
      </c>
      <c r="FV35" s="447" t="str">
        <f t="shared" si="80"/>
        <v/>
      </c>
      <c r="FW35" s="447" t="str">
        <f t="shared" si="80"/>
        <v/>
      </c>
      <c r="FX35" s="447" t="str">
        <f t="shared" si="81"/>
        <v/>
      </c>
      <c r="FY35" s="447" t="str">
        <f t="shared" si="81"/>
        <v/>
      </c>
      <c r="FZ35" s="447" t="str">
        <f t="shared" si="81"/>
        <v/>
      </c>
      <c r="GA35" s="447" t="str">
        <f t="shared" si="81"/>
        <v/>
      </c>
      <c r="GB35" s="447" t="str">
        <f t="shared" si="81"/>
        <v/>
      </c>
      <c r="GC35" s="447" t="str">
        <f t="shared" si="81"/>
        <v/>
      </c>
      <c r="GD35" s="447" t="str">
        <f t="shared" si="81"/>
        <v/>
      </c>
      <c r="GE35" s="447" t="str">
        <f t="shared" si="81"/>
        <v/>
      </c>
      <c r="GF35" s="447">
        <f t="shared" si="33"/>
        <v>0</v>
      </c>
      <c r="GG35" s="447">
        <f t="shared" si="22"/>
        <v>0</v>
      </c>
      <c r="GH35" s="447">
        <f t="shared" si="23"/>
        <v>0</v>
      </c>
      <c r="GI35" s="447">
        <f t="shared" si="24"/>
        <v>0</v>
      </c>
      <c r="GJ35" s="447">
        <f t="shared" si="25"/>
        <v>0</v>
      </c>
      <c r="GK35" s="447">
        <f t="shared" si="34"/>
        <v>0.96</v>
      </c>
      <c r="GL35" s="447" t="e">
        <f t="shared" si="15"/>
        <v>#VALUE!</v>
      </c>
      <c r="GM35" s="447" t="e">
        <f t="shared" si="16"/>
        <v>#VALUE!</v>
      </c>
      <c r="GN35" s="447" t="e">
        <f t="shared" si="17"/>
        <v>#VALUE!</v>
      </c>
      <c r="GO35" s="447" t="e">
        <f t="shared" si="18"/>
        <v>#VALUE!</v>
      </c>
      <c r="GP35" s="447" t="e">
        <f t="shared" si="19"/>
        <v>#VALUE!</v>
      </c>
      <c r="GQ35" s="447">
        <f t="shared" si="19"/>
        <v>96</v>
      </c>
      <c r="GR35" s="453" t="e">
        <f t="shared" si="83"/>
        <v>#VALUE!</v>
      </c>
      <c r="GS35" s="447" t="str">
        <f t="shared" si="37"/>
        <v>No Programó</v>
      </c>
      <c r="GT35" s="447" t="str">
        <f>+IF(OR($A35=52,$A35=124),1,IFERROR(IF($X35="Creciente",IF($AB35="Número",SUM($GL35:GM35)/SUM($DO35:DP35)*($AX35-$AW35),SUM($GL35:GM35)/SUM($DO35:DP35))*($AX35-$AW35),IF($DG35="Creciente",GM35*GM35/GM35,IF(AND($DG35="Constante",$AB35="Porcentaje"),AVERAGEIF($GL35:GM35,"&lt;&gt;0")/AVERAGEIF($DO35:DP35,"&lt;&gt;0")*100,SUM($GL35:GM35)/SUM($DO35:DP35)*$DU35))),GS35))</f>
        <v>No Programó</v>
      </c>
      <c r="GU35" s="447" t="str">
        <f>+IF(OR($A35=52,$A35=124),1,IFERROR(IF($X35="Creciente",IF($AB35="Número",SUM($GL35:GN35)/SUM($DO35:DQ35)*($AX35-$AW35),SUM($GL35:GN35)/SUM($DO35:DQ35))*($AX35-$AW35),IF($DG35="Creciente",GN35*GN35/GN35,IF(AND($DG35="Constante",$AB35="Porcentaje"),AVERAGEIF($GL35:GN35,"&lt;&gt;0")/AVERAGEIF($DO35:DQ35,"&lt;&gt;0")*100,SUM($GL35:GN35)/SUM($DO35:DQ35)*$DU35))),GT35))</f>
        <v>No Programó</v>
      </c>
      <c r="GV35" s="447" t="str">
        <f>+IF(OR($A35=52,$A35=124),1,IFERROR(IF($X35="Creciente",IF($AB35="Número",SUM($GL35:GO35)/SUM($DO35:DR35)*($AX35-$AW35),SUM($GL35:GO35)/SUM($DO35:DR35))*($AX35-$AW35),IF($DG35="Creciente",GO35*GO35/GO35,IF(AND($DG35="Constante",$AB35="Porcentaje"),AVERAGEIF($GL35:GO35,"&lt;&gt;0")/AVERAGEIF($DO35:DR35,"&lt;&gt;0")*100,SUM($GL35:GO35)/SUM($DO35:DR35)*$DU35))),GU35))</f>
        <v>No Programó</v>
      </c>
      <c r="GW35" s="447" t="str">
        <f>+IF(OR($A35=52,$A35=124),1,IFERROR(IF($X35="Creciente",IF($AB35="Número",SUM($GL35:GP35)/SUM($DO35:DS35)*($AX35-$AW35),SUM($GL35:GP35)/SUM($DO35:DS35))*($AX35-$AW35),IF($DG35="Creciente",GP35*GP35/GP35,IF(AND($DG35="Constante",$AB35="Porcentaje"),AVERAGEIF($GL35:GP35,"&lt;&gt;0")/AVERAGEIF($DO35:DS35,"&lt;&gt;0")*100,SUM($GL35:GP35)/SUM($DO35:DS35)*$DU35))),GV35))</f>
        <v>No Programó</v>
      </c>
      <c r="GX35" s="447">
        <f>+(GQ35/DU35)*100</f>
        <v>120</v>
      </c>
      <c r="GY35" s="447" t="str">
        <f t="shared" si="28"/>
        <v xml:space="preserve">Establecer el grado de  de satisfacción de  las entidades distritales frente a los servicios prestados </v>
      </c>
      <c r="GZ35" s="447">
        <f t="shared" si="29"/>
        <v>0</v>
      </c>
      <c r="HA35" s="447" t="str">
        <f t="shared" si="30"/>
        <v>Conocer la percepión de las entidades públicas que han requeridos servicios para realizar la mejora de la oferta institucional</v>
      </c>
      <c r="HB35" s="447" t="str">
        <f t="shared" si="31"/>
        <v>Encuesta de satisfacción
Informe de análisis de la encuesta</v>
      </c>
      <c r="HC35" s="447" t="str">
        <f t="shared" si="72"/>
        <v>Cumple</v>
      </c>
      <c r="HD35" s="447" t="str">
        <f t="shared" si="72"/>
        <v>No programó</v>
      </c>
      <c r="HE35" s="447" t="str">
        <f t="shared" si="72"/>
        <v>No aplica</v>
      </c>
      <c r="HF35" s="447" t="str">
        <f t="shared" si="72"/>
        <v>No aplica</v>
      </c>
      <c r="HG35" s="447" t="str">
        <f t="shared" si="72"/>
        <v>No aplica</v>
      </c>
      <c r="HH35" s="447" t="str">
        <f t="shared" si="72"/>
        <v>No aplica</v>
      </c>
      <c r="HI35" s="447">
        <f t="shared" si="72"/>
        <v>0</v>
      </c>
      <c r="HJ35" s="447" t="str">
        <f t="shared" si="72"/>
        <v>No aplica</v>
      </c>
      <c r="HK35" s="447" t="str">
        <f t="shared" si="72"/>
        <v>Oportuna</v>
      </c>
      <c r="HL35" s="447" t="str">
        <f t="shared" si="72"/>
        <v>Para el periodo de reporte el indicador no presenta avance teniendo en cuenta que su programación es para el mes de junio</v>
      </c>
      <c r="HM35" s="447" t="str">
        <f t="shared" si="73"/>
        <v>Marcela Andrea García Guerrero</v>
      </c>
      <c r="HN35" s="447">
        <f t="shared" si="73"/>
        <v>0</v>
      </c>
      <c r="HO35" s="447" t="str">
        <f t="shared" si="73"/>
        <v>Cumplido</v>
      </c>
      <c r="HP35" s="447" t="str">
        <f t="shared" si="73"/>
        <v>Adecuado</v>
      </c>
      <c r="HQ35" s="447" t="str">
        <f t="shared" si="73"/>
        <v>Coherente</v>
      </c>
      <c r="HR35" s="447" t="str">
        <f t="shared" si="73"/>
        <v>Concuerda</v>
      </c>
      <c r="HS35" s="447" t="str">
        <f t="shared" si="73"/>
        <v>Concuerda</v>
      </c>
      <c r="HT35" s="447">
        <f t="shared" si="73"/>
        <v>0</v>
      </c>
      <c r="HU35" s="447" t="str">
        <f t="shared" si="73"/>
        <v>Adecuado</v>
      </c>
      <c r="HV35" s="447" t="str">
        <f t="shared" si="73"/>
        <v>Oportuna</v>
      </c>
      <c r="HW35" s="447" t="str">
        <f t="shared" si="73"/>
        <v>Ninguna</v>
      </c>
      <c r="HX35" s="447" t="str">
        <f t="shared" si="73"/>
        <v>Marcela Andrea García Guerrero</v>
      </c>
    </row>
    <row r="36" spans="1:241" s="149" customFormat="1" x14ac:dyDescent="0.3">
      <c r="A36" s="145" t="s">
        <v>366</v>
      </c>
      <c r="B36" s="146" t="s">
        <v>1144</v>
      </c>
      <c r="C36" s="146" t="s">
        <v>1144</v>
      </c>
      <c r="D36" s="146" t="s">
        <v>1144</v>
      </c>
      <c r="E36" s="146" t="s">
        <v>1144</v>
      </c>
      <c r="F36" s="136" t="s">
        <v>1447</v>
      </c>
      <c r="G36" s="146" t="s">
        <v>1144</v>
      </c>
      <c r="H36" s="146" t="s">
        <v>1144</v>
      </c>
      <c r="I36" s="149" t="s">
        <v>1146</v>
      </c>
      <c r="J36" s="154" t="s">
        <v>56</v>
      </c>
      <c r="K36" s="154" t="s">
        <v>57</v>
      </c>
      <c r="L36" s="154" t="s">
        <v>58</v>
      </c>
      <c r="M36" s="154" t="s">
        <v>1147</v>
      </c>
      <c r="N36" s="154" t="s">
        <v>1448</v>
      </c>
      <c r="O36" s="154" t="s">
        <v>1449</v>
      </c>
      <c r="P36" s="148" t="s">
        <v>1447</v>
      </c>
      <c r="Q36" s="154" t="s">
        <v>1450</v>
      </c>
      <c r="R36" s="154" t="s">
        <v>1451</v>
      </c>
      <c r="S36" s="154" t="s">
        <v>1452</v>
      </c>
      <c r="T36" s="154" t="s">
        <v>1453</v>
      </c>
      <c r="U36" s="154">
        <v>0</v>
      </c>
      <c r="V36" s="154" t="s">
        <v>1454</v>
      </c>
      <c r="W36" s="148" t="s">
        <v>638</v>
      </c>
      <c r="X36" s="154" t="s">
        <v>638</v>
      </c>
      <c r="Y36" s="154" t="s">
        <v>1455</v>
      </c>
      <c r="Z36" s="154" t="s">
        <v>1456</v>
      </c>
      <c r="AA36" s="154" t="s">
        <v>1457</v>
      </c>
      <c r="AB36" s="154" t="s">
        <v>639</v>
      </c>
      <c r="AC36" s="154" t="s">
        <v>1159</v>
      </c>
      <c r="AD36" s="154" t="s">
        <v>1160</v>
      </c>
      <c r="AE36" s="154">
        <v>2018</v>
      </c>
      <c r="AF36" s="154">
        <v>0</v>
      </c>
      <c r="AG36" s="154">
        <v>2018</v>
      </c>
      <c r="AH36" s="154">
        <v>0</v>
      </c>
      <c r="AI36" s="154">
        <v>0</v>
      </c>
      <c r="AJ36" s="154">
        <v>12</v>
      </c>
      <c r="AK36" s="154">
        <v>18</v>
      </c>
      <c r="AL36" s="220">
        <v>1</v>
      </c>
      <c r="AM36" s="154">
        <v>0</v>
      </c>
      <c r="AN36" s="146" t="s">
        <v>1144</v>
      </c>
      <c r="AO36" s="146" t="s">
        <v>1144</v>
      </c>
      <c r="AP36" s="146" t="s">
        <v>1144</v>
      </c>
      <c r="AQ36" s="146" t="s">
        <v>1144</v>
      </c>
      <c r="AR36" s="146" t="s">
        <v>1144</v>
      </c>
      <c r="AS36" s="150" t="s">
        <v>1144</v>
      </c>
      <c r="AT36" s="156">
        <v>0</v>
      </c>
      <c r="AU36" s="156">
        <v>0</v>
      </c>
      <c r="AV36" s="156">
        <v>12</v>
      </c>
      <c r="AW36" s="156">
        <v>18</v>
      </c>
      <c r="AX36" s="211">
        <v>5</v>
      </c>
      <c r="AY36" s="156">
        <v>0</v>
      </c>
      <c r="AZ36" s="167"/>
      <c r="BA36" s="167"/>
      <c r="BB36" s="167"/>
      <c r="BC36" s="167"/>
      <c r="BD36" s="167">
        <v>0</v>
      </c>
      <c r="BJ36" s="149">
        <v>0</v>
      </c>
      <c r="BK36" s="146" t="s">
        <v>1144</v>
      </c>
      <c r="BL36" s="146" t="s">
        <v>1144</v>
      </c>
      <c r="BM36" s="146" t="s">
        <v>1144</v>
      </c>
      <c r="BN36" s="146" t="s">
        <v>1144</v>
      </c>
      <c r="BO36" s="146" t="s">
        <v>1144</v>
      </c>
      <c r="BP36" s="146" t="s">
        <v>1144</v>
      </c>
      <c r="BQ36" s="146" t="s">
        <v>1144</v>
      </c>
      <c r="BR36" s="146" t="s">
        <v>1144</v>
      </c>
      <c r="BS36" s="146" t="s">
        <v>1144</v>
      </c>
      <c r="BT36" s="146" t="s">
        <v>1144</v>
      </c>
      <c r="BU36" s="146" t="s">
        <v>1144</v>
      </c>
      <c r="BV36" s="146" t="s">
        <v>1144</v>
      </c>
      <c r="BW36" s="219" t="s">
        <v>1144</v>
      </c>
      <c r="BX36" s="219" t="s">
        <v>1144</v>
      </c>
      <c r="BY36" s="219" t="s">
        <v>1144</v>
      </c>
      <c r="BZ36" s="219">
        <v>1</v>
      </c>
      <c r="CA36" s="219" t="s">
        <v>1144</v>
      </c>
      <c r="CB36" s="219" t="s">
        <v>1144</v>
      </c>
      <c r="CC36" s="219" t="s">
        <v>1144</v>
      </c>
      <c r="CD36" s="219">
        <v>1</v>
      </c>
      <c r="CE36" s="219" t="s">
        <v>266</v>
      </c>
      <c r="CF36" s="219" t="s">
        <v>1144</v>
      </c>
      <c r="CG36" s="219" t="s">
        <v>1144</v>
      </c>
      <c r="CH36" s="219" t="s">
        <v>1144</v>
      </c>
      <c r="CI36" s="219" t="s">
        <v>1144</v>
      </c>
      <c r="CJ36" s="219" t="s">
        <v>1144</v>
      </c>
      <c r="CK36" s="219" t="s">
        <v>1144</v>
      </c>
      <c r="CL36" s="219" t="s">
        <v>1144</v>
      </c>
      <c r="CM36" s="219" t="s">
        <v>1144</v>
      </c>
      <c r="CN36" s="219" t="s">
        <v>1144</v>
      </c>
      <c r="CO36" s="219" t="s">
        <v>1144</v>
      </c>
      <c r="CP36" s="219" t="s">
        <v>1144</v>
      </c>
      <c r="CQ36" s="219" t="s">
        <v>1144</v>
      </c>
      <c r="CR36" s="219" t="s">
        <v>1144</v>
      </c>
      <c r="CS36" s="219" t="s">
        <v>1144</v>
      </c>
      <c r="CT36" s="219" t="s">
        <v>1144</v>
      </c>
      <c r="CU36" s="219" t="s">
        <v>1144</v>
      </c>
      <c r="CV36" s="219" t="s">
        <v>1144</v>
      </c>
      <c r="CW36" s="219" t="s">
        <v>1144</v>
      </c>
      <c r="CX36" s="219" t="s">
        <v>1144</v>
      </c>
      <c r="CY36" s="219" t="s">
        <v>1144</v>
      </c>
      <c r="CZ36" s="219" t="s">
        <v>1144</v>
      </c>
      <c r="DA36" s="219" t="s">
        <v>1144</v>
      </c>
      <c r="DB36" s="152" t="str">
        <f t="shared" si="32"/>
        <v xml:space="preserve">Plan de Acción, SGC, PROCESO: Internacionalización de Bogotá, </v>
      </c>
      <c r="DC36" s="149" t="str">
        <f t="shared" si="75"/>
        <v/>
      </c>
      <c r="DD36" s="149" t="str">
        <f t="shared" si="75"/>
        <v>1. Análisis y evaluación de solicitudes o iniciativas de relacionamiento internacional
2. Ejecución de la acción de relacionamiento internacional</v>
      </c>
      <c r="DE36" s="149" t="str">
        <f t="shared" si="75"/>
        <v/>
      </c>
      <c r="DF36" s="149" t="str">
        <f t="shared" si="75"/>
        <v xml:space="preserve">Informe de Gestión de las diferentes acciones a su cierre y según corresponda diferentes documentos generados de acuerdo con el desarrollo de la misma </v>
      </c>
      <c r="DG36" s="149" t="str">
        <f t="shared" si="75"/>
        <v>Suma</v>
      </c>
      <c r="DH36" s="149">
        <f t="shared" si="2"/>
        <v>5</v>
      </c>
      <c r="DI36" s="149">
        <f t="shared" si="3"/>
        <v>0</v>
      </c>
      <c r="DJ36" s="149">
        <f t="shared" si="4"/>
        <v>0</v>
      </c>
      <c r="DK36" s="149">
        <f t="shared" si="5"/>
        <v>0</v>
      </c>
      <c r="DL36" s="149">
        <f t="shared" si="6"/>
        <v>0</v>
      </c>
      <c r="DM36" s="149">
        <f t="shared" si="7"/>
        <v>0</v>
      </c>
      <c r="DN36" s="149">
        <f t="shared" si="36"/>
        <v>5</v>
      </c>
      <c r="DO36" s="149">
        <f t="shared" si="74"/>
        <v>0</v>
      </c>
      <c r="DP36" s="149">
        <f t="shared" si="74"/>
        <v>0</v>
      </c>
      <c r="DQ36" s="149">
        <f t="shared" si="74"/>
        <v>0</v>
      </c>
      <c r="DR36" s="149">
        <f t="shared" si="74"/>
        <v>0</v>
      </c>
      <c r="DS36" s="149">
        <f t="shared" si="74"/>
        <v>0</v>
      </c>
      <c r="DT36" s="149">
        <f t="shared" si="74"/>
        <v>5</v>
      </c>
      <c r="DU36" s="149">
        <f t="shared" si="76"/>
        <v>5</v>
      </c>
      <c r="DV36" s="149">
        <f t="shared" si="76"/>
        <v>0</v>
      </c>
      <c r="DW36" s="149" t="str">
        <f t="shared" si="76"/>
        <v/>
      </c>
      <c r="DX36" s="149" t="str">
        <f t="shared" si="76"/>
        <v xml:space="preserve">Las acciones específicas dan inicio en el mes de febrero
</v>
      </c>
      <c r="DY36" s="149" t="str">
        <f t="shared" si="76"/>
        <v>N/A</v>
      </c>
      <c r="DZ36" s="149" t="str">
        <f t="shared" si="76"/>
        <v>N/A</v>
      </c>
      <c r="EA36" s="149">
        <f t="shared" si="76"/>
        <v>0</v>
      </c>
      <c r="EB36" s="149" t="str">
        <f t="shared" si="76"/>
        <v/>
      </c>
      <c r="EC36" s="149" t="str">
        <f t="shared" si="76"/>
        <v>A continuación se realcionan los avances de las siguientes acciones:
1. Reunión Alcaldesa de Bogota – Alcaldesa de Barcelona – PlayGround Media:
Con el fin de abrir  una relación Bogota-Barcelona es de gran interés para esta administración ya que pretende apostar  por una colaboración en varios frentes con esta ciudad,PlayGround un medio de comunicación virtual internacional con intermediación de la DDRI, invita a las alcaldesas de estas dos ciudades, propiciando la ocasión para este diálogo, a grabar un documento audiovisual desde ambos puntos de vista: Bogota y Barcelona, para generar un video viral de internet.
Para esto la DDRI realizó la siguiente gestión:
- Gestion de la invitación
- Investigacion sobre la pertinencia
- Elaboracion del concepto
- Coordinación interinstitucional de la aprobacion del documento requerido por el medio para el uso de las imágenes.
- Coordinación interinstitucional para la realización de un ensayo y la recepción del equipo de playGround en despacho.
- Preparación de la ficha para la alcaldesa. 
Esta acción se reportará en el mes de junio con la consolidación del informe final de la acción.
2. Participación del Distrito en la celebración de  fiesta tradicional Tu Bishvat Comunidad judia colegio hebreo 
Se Recibió invitación de la Embajada de isarel para acompañarlos en la celebración de su fiesta tradicional Tu Bishvat que conmemora el solsticio y llegada de la primavera en un festejo que celebra la naturaleza y el cuidado del medio ambiente.
Se acompañó a la comunidad judía de bogota en su celebración tradicional. Apoyando el mensaje ambiental y sostenible de dicha fecha. Incentivando estas actividades en los colegios de la ciudad para educar a las generaciones futuras sobre esta urgente consideración con el planeta. Para esto la DDRI realizó:
- Gestión de la invitación ante despacho de la alcaldesa y despacho de la Secretaría de Ambiente.
- Coordinación y confirmación de los asistentes ante la embajada de Israel.
-  Acompañamiento y presencia en el evento.
Informe por consolidar y cierre en el mes de junio</v>
      </c>
      <c r="ED36" s="149" t="str">
        <f t="shared" si="76"/>
        <v>No se reportaron retrasos ni dificultades en la gestión</v>
      </c>
      <c r="EE36" s="149" t="str">
        <f t="shared" si="77"/>
        <v>1. Reunión Alcaldesa de Bogota – Alcaldesa de Barcelona – PlayGround Media
Participar en la ocasión propuesta por PlayGround abrió el camino a una comunicación personal entre las alcaldesas de Bogotáy Barcelona de manera agil y fluida. En el aspecto de difusión, el video tuvo buena acogida en internet, obtuvo un nivel de exposición importante sobre todo entre el publico joven. A grandes rasgos el ejercico fue positivo
2. Participación del Distrito en la celebración de  fiesta tradicional Tu Bishvat Comunidad judia colegio hebreo.
Se encuentra en Isreal un aliado estratégico para el logro del objetivo número dos del Plan de desarrollo, logrando que el embajador expresarA su deseo de apoyar a la alcaldesa en los temas ambientales para la ciudad de Bogotá.</v>
      </c>
      <c r="EF36" s="149">
        <f t="shared" si="77"/>
        <v>0</v>
      </c>
      <c r="EG36" s="149" t="str">
        <f t="shared" si="77"/>
        <v/>
      </c>
      <c r="EH36" s="149" t="str">
        <f t="shared" si="77"/>
        <v>Para el mes de marzo se reportan la siguiente acción:
1. Postulación al Steerring Comitee de C40:
C40,  organización internacional de ciudades comprometidas en la lucha contra el cambio climático y la generación de una acción urbana que reduzca las emisiones de gases de efecto de invernadero y los riesgos climáticos, invitó a la Alcaldesa Claudia López a ser parte del Comité Directivo de esta red para la región de América Latina.
El periodo de postulaciones y elección se dio entre se concretó en marzo de 2020.
 Gestión realizada por la DDRI
Estuvo a cargo de la DDRI el acompañamiento de la postulación de la Alcaldesa Claudia López al Comité Directivo de C40. Esto incluyó:
•Análisis de la oportunidad y estrategia de ser parte o no del Comité Directivo de C40.
•Elaboración de la carta de interés para la postulación de la Alcadesa Claudia López.
•Interlocución con C40 en el proceso de postulación y elección de la Alcaldesa Claudia López en el Comité Directivo de C40.
Informe final para consolidación y cierre en el mes de junio</v>
      </c>
      <c r="EI36" s="149" t="str">
        <f t="shared" si="77"/>
        <v>No se reportaron retrasos ni dificultades en la gestión</v>
      </c>
      <c r="EJ36" s="149" t="str">
        <f t="shared" si="77"/>
        <v>1. Postulación al Steerring Comitee de C40:
El principal resultado de este relacionamiento estratégico internacional fue la elección de la Alcaldesa Claudia López como Vicepresidente del Comité Directivo de C40 para la región de América Latina. Ser miembro de este órgano rector es una herramienta de importante relevancia pues la ciudad de Bogotá podrá participar en la dirección estratégica de esta red mundial que representa a más de 700 millones de ciudadanos y un cuarto de la economía mundial.
Asimismo, este es un importante reconocimiento al compromiso de la ciudad en la lucha contra el cambio climático. También, este nombramiento implica una responsabilidad y desafío para la ciudad en ser ejemplo a nivel mundial por sus acciones sostenibles y resilientes, siendo una firme defensora del Acuerdo de París</v>
      </c>
      <c r="EK36" s="149">
        <f t="shared" si="77"/>
        <v>0</v>
      </c>
      <c r="EL36" s="149" t="str">
        <f t="shared" si="77"/>
        <v/>
      </c>
      <c r="EM36" s="149" t="str">
        <f t="shared" si="77"/>
        <v>Se avanzó en la siguiente acció:
1. Participación en Webinar de Metrópolis: "Internacionalización y espacios metropolitanos"
El 3 de abril de 2020, se realizó el seminario "Internacionalización y espacios metropolitanos". Organizado por Metrópolis en colaboración con la Alianza Eurolatinoamericana de Cooperación entre Ciudades AL-Las.
A la reunión fueron invitadas las oficinas de relaciones internacionales de Bogotá, Ciudad de México y el Área Metropolitana de Barcelona.
El evento estuvo dirigido a funcionarios de los gobiernos locales (oficinas de relaciones internacionales), tomadores de decisiones, estudiantes e investigadores de relaciones internacionales.
Gestión realizada por la DDRI:
Estuvo a cargo de la DDRI la preparación y realización de la presentación de la Estrategia de Internacional de la ciudad de Bogotá en el seminario web.
Estrategia divulgación en redes sociales de la participación de la Dirección en esta reunión internacional.
Informe en consolidación para reprotar en junio.</v>
      </c>
      <c r="EN36" s="149" t="str">
        <f t="shared" si="77"/>
        <v>No se reportaron retrasos ni dificultades en la gestión</v>
      </c>
      <c r="EO36" s="149" t="str">
        <f t="shared" si="78"/>
        <v>1. Participación en Webinar de Metrópolis: "Internacionalización y espacios metropolitanos"
El seminario web fue una oportunidad para enfatizar el liderazgo de la ciudad de Bogotá en su accionar internacional a nivel regional. Esto, teniendo en cuenta que la sesión web reunió a funcionarios públicos, profesionales e investigadores de 16 espacios urbanos pertenecientes a Metrópolis: Ciudad de Barcelona y Área Metropolitana, Belo Horizonte, Bruselas, Buenos Aires, Ciudad de México, Córdoba, Guadalajara, La Paz, Madrid, Medellín, Montevideo, Porto Alegre, San Salvador y Valle de Aburrá.
Asimismo, este espacio le ha brindado a la Alcaldía de Bogotá una oportunidad única para aprender sobre lecciones y experiencias aprendidas de otros gobiernos locales en sus estrategias de internacionalización.</v>
      </c>
      <c r="EP36" s="149">
        <f t="shared" si="78"/>
        <v>0</v>
      </c>
      <c r="EQ36" s="149" t="str">
        <f t="shared" si="78"/>
        <v/>
      </c>
      <c r="ER36" s="149" t="str">
        <f t="shared" si="78"/>
        <v>A continuación se reportan avances de la siguiente acción:
1. Conversaciones de alto nivel entre alcaldes de C40 para discutir gestión a la crisis COVID-19:
Desde el 28 de marzo hasta el 18 de mayo se han realizado 4 llamadas entre Alcaldes donde se trataron diversos temas dentro de los que se encuentran: cómo las ciudades están enfrentando la pandemia, la recuperación económica de las ciudades, y sobre la reapertura gradual de las ciudades.
Gestión realizada por la DDRI:
28 de marzo 2020 Reunión entre alcaldes para discutir cómo las ciudades están enfrentando la pandemia
*Participación a cargo de la DDRI
3 de abril 2020 Reunión entre alcaldes para discutir cómo las ciudades están enfrentando la pandemia.
*Participación de la Secretaría Distrital de Desarrollo Económico
15 de abril 2020 Llamada con el Alcalde de Los Ángeles y el Alcalde de Milán y  presentación del Profesor Vernon Lee, Director de Enfermedades Contagiosas de Singapur. 
*Participación de la Secretaría de Ambiente.
6 de mayo 2020 WebinarC40 sobre la reapertura gradual de las ciudades
Informe final para consolidación y cierre en el mes de junio</v>
      </c>
      <c r="ES36" s="149" t="str">
        <f t="shared" si="78"/>
        <v>No se reportaron retrasos ni dificultades en la gestión</v>
      </c>
      <c r="ET36" s="149" t="str">
        <f t="shared" si="78"/>
        <v>Estas llamadas le han brindado a la administración distrital una oportunidad única para aprender sobre lecciones y experiencias aprendidas de numerosos gobiernos locales del mundo, fortaleciendo el proceso de toma de decisiones en la atención a la pandemia por el COVID19.
Teniendo en cuenta la participación de la Alcaldesa en el Comité Directivo de C40 y la participación de la Alcaldía en estas llamadas, le ha permitido a la Administración Distrital posicionarse en el escenario internacional como ciudad líder en la protección al medio ambiente, durante y post crisis COVID19.</v>
      </c>
      <c r="EU36" s="149">
        <f t="shared" si="78"/>
        <v>5</v>
      </c>
      <c r="EV36" s="149" t="str">
        <f t="shared" si="78"/>
        <v/>
      </c>
      <c r="EW36" s="149" t="str">
        <f t="shared" si="78"/>
        <v>Para el mes de junio se consolidó el informe de gestión final de las acciones de relacionamiento adelantadas en los meses anteriores, las cuales se relacionan a continuación:
1. Reunión Alcaldesa de Bogota – Alcaldesa de Barcelona – PlayGround Media
2. Participación del Distrito en la celebración de  fiesta tradicional Tu Bishvat Comunidad judia colegio hebreo
3. Postulación al Steerring Comitee de C40
4. Participación en Webinar de Metrópolis
5. Conversaciones de alto nivel entre alcaldes de C40 para discutir gestión a la crisis COVID-19</v>
      </c>
      <c r="EX36" s="149" t="str">
        <f t="shared" si="78"/>
        <v>No se reportaron retrasos ni dificultades en la gestión</v>
      </c>
      <c r="EY36" s="149" t="str">
        <f t="shared" si="78"/>
        <v>Beneficios reportados en los meses anteriores.</v>
      </c>
      <c r="EZ36" s="149">
        <f t="shared" si="78"/>
        <v>5</v>
      </c>
      <c r="FA36" s="149">
        <f t="shared" si="78"/>
        <v>0</v>
      </c>
      <c r="FB36" s="149" t="str">
        <f t="shared" si="78"/>
        <v/>
      </c>
      <c r="FC36" s="149" t="str">
        <f t="shared" si="78"/>
        <v/>
      </c>
      <c r="FD36" s="149" t="str">
        <f t="shared" si="79"/>
        <v/>
      </c>
      <c r="FE36" s="149" t="str">
        <f t="shared" si="79"/>
        <v/>
      </c>
      <c r="FF36" s="149" t="str">
        <f t="shared" si="79"/>
        <v/>
      </c>
      <c r="FG36" s="149" t="str">
        <f t="shared" si="79"/>
        <v/>
      </c>
      <c r="FH36" s="149" t="str">
        <f t="shared" si="79"/>
        <v/>
      </c>
      <c r="FI36" s="149" t="str">
        <f t="shared" si="79"/>
        <v/>
      </c>
      <c r="FJ36" s="149" t="str">
        <f t="shared" si="79"/>
        <v/>
      </c>
      <c r="FK36" s="149" t="str">
        <f t="shared" si="79"/>
        <v/>
      </c>
      <c r="FL36" s="149" t="str">
        <f t="shared" si="79"/>
        <v/>
      </c>
      <c r="FM36" s="149" t="str">
        <f t="shared" si="79"/>
        <v/>
      </c>
      <c r="FN36" s="149" t="str">
        <f t="shared" si="80"/>
        <v/>
      </c>
      <c r="FO36" s="149" t="str">
        <f t="shared" si="80"/>
        <v/>
      </c>
      <c r="FP36" s="149" t="str">
        <f t="shared" si="80"/>
        <v/>
      </c>
      <c r="FQ36" s="149" t="str">
        <f t="shared" si="80"/>
        <v/>
      </c>
      <c r="FR36" s="149" t="str">
        <f t="shared" si="80"/>
        <v/>
      </c>
      <c r="FS36" s="149" t="str">
        <f t="shared" si="80"/>
        <v/>
      </c>
      <c r="FT36" s="149" t="str">
        <f t="shared" si="80"/>
        <v/>
      </c>
      <c r="FU36" s="149" t="str">
        <f t="shared" si="80"/>
        <v/>
      </c>
      <c r="FV36" s="149" t="str">
        <f t="shared" si="80"/>
        <v/>
      </c>
      <c r="FW36" s="149" t="str">
        <f t="shared" si="80"/>
        <v/>
      </c>
      <c r="FX36" s="149" t="str">
        <f t="shared" si="81"/>
        <v/>
      </c>
      <c r="FY36" s="149" t="str">
        <f t="shared" si="81"/>
        <v/>
      </c>
      <c r="FZ36" s="149" t="str">
        <f t="shared" si="81"/>
        <v/>
      </c>
      <c r="GA36" s="149" t="str">
        <f t="shared" si="81"/>
        <v/>
      </c>
      <c r="GB36" s="149" t="str">
        <f t="shared" si="81"/>
        <v/>
      </c>
      <c r="GC36" s="149" t="str">
        <f t="shared" si="81"/>
        <v/>
      </c>
      <c r="GD36" s="149" t="str">
        <f t="shared" si="81"/>
        <v/>
      </c>
      <c r="GE36" s="149" t="str">
        <f t="shared" si="81"/>
        <v/>
      </c>
      <c r="GF36" s="149">
        <f t="shared" si="33"/>
        <v>0</v>
      </c>
      <c r="GG36" s="149">
        <f t="shared" si="22"/>
        <v>0</v>
      </c>
      <c r="GH36" s="149">
        <f t="shared" si="23"/>
        <v>0</v>
      </c>
      <c r="GI36" s="149">
        <f t="shared" si="24"/>
        <v>0</v>
      </c>
      <c r="GJ36" s="149">
        <f t="shared" si="25"/>
        <v>0</v>
      </c>
      <c r="GK36" s="149">
        <f t="shared" si="34"/>
        <v>5</v>
      </c>
      <c r="GL36" s="149">
        <f t="shared" si="15"/>
        <v>0</v>
      </c>
      <c r="GM36" s="149">
        <f t="shared" si="16"/>
        <v>0</v>
      </c>
      <c r="GN36" s="149">
        <f t="shared" si="17"/>
        <v>0</v>
      </c>
      <c r="GO36" s="149">
        <f t="shared" si="18"/>
        <v>0</v>
      </c>
      <c r="GP36" s="149">
        <f t="shared" si="19"/>
        <v>0</v>
      </c>
      <c r="GQ36" s="149">
        <f t="shared" si="19"/>
        <v>100</v>
      </c>
      <c r="GR36" s="153">
        <f t="shared" si="83"/>
        <v>100</v>
      </c>
      <c r="GS36" s="149" t="str">
        <f t="shared" si="37"/>
        <v>No Programó</v>
      </c>
      <c r="GT36" s="149" t="str">
        <f>+IF(OR($A36=52,$A36=124),1,IFERROR(IF($X36="Creciente",IF($AB36="Número",SUM($GL36:GM36)/SUM($DO36:DP36)*($AX36-$AW36),SUM($GL36:GM36)/SUM($DO36:DP36))*($AX36-$AW36),IF($DG36="Creciente",GM36*GM36/GM36,IF(AND($DG36="Constante",$AB36="Porcentaje"),AVERAGEIF($GL36:GM36,"&lt;&gt;0")/AVERAGEIF($DO36:DP36,"&lt;&gt;0")*100,SUM($GL36:GM36)/SUM($DO36:DP36)*$DU36))),GS36))</f>
        <v>No Programó</v>
      </c>
      <c r="GU36" s="149" t="str">
        <f>+IF(OR($A36=52,$A36=124),1,IFERROR(IF($X36="Creciente",IF($AB36="Número",SUM($GL36:GN36)/SUM($DO36:DQ36)*($AX36-$AW36),SUM($GL36:GN36)/SUM($DO36:DQ36))*($AX36-$AW36),IF($DG36="Creciente",GN36*GN36/GN36,IF(AND($DG36="Constante",$AB36="Porcentaje"),AVERAGEIF($GL36:GN36,"&lt;&gt;0")/AVERAGEIF($DO36:DQ36,"&lt;&gt;0")*100,SUM($GL36:GN36)/SUM($DO36:DQ36)*$DU36))),GT36))</f>
        <v>No Programó</v>
      </c>
      <c r="GV36" s="149" t="str">
        <f>+IF(OR($A36=52,$A36=124),1,IFERROR(IF($X36="Creciente",IF($AB36="Número",SUM($GL36:GO36)/SUM($DO36:DR36)*($AX36-$AW36),SUM($GL36:GO36)/SUM($DO36:DR36))*($AX36-$AW36),IF($DG36="Creciente",GO36*GO36/GO36,IF(AND($DG36="Constante",$AB36="Porcentaje"),AVERAGEIF($GL36:GO36,"&lt;&gt;0")/AVERAGEIF($DO36:DR36,"&lt;&gt;0")*100,SUM($GL36:GO36)/SUM($DO36:DR36)*$DU36))),GU36))</f>
        <v>No Programó</v>
      </c>
      <c r="GW36" s="149" t="str">
        <f>+IF(OR($A36=52,$A36=124),1,IFERROR(IF($X36="Creciente",IF($AB36="Número",SUM($GL36:GP36)/SUM($DO36:DS36)*($AX36-$AW36),SUM($GL36:GP36)/SUM($DO36:DS36))*($AX36-$AW36),IF($DG36="Creciente",GP36*GP36/GP36,IF(AND($DG36="Constante",$AB36="Porcentaje"),AVERAGEIF($GL36:GP36,"&lt;&gt;0")/AVERAGEIF($DO36:DS36,"&lt;&gt;0")*100,SUM($GL36:GP36)/SUM($DO36:DS36)*$DU36))),GV36))</f>
        <v>No Programó</v>
      </c>
      <c r="GX36" s="149">
        <f>+IF(OR($A36=52,$A36=124),1,IFERROR(IF($X36="Creciente",IF($AB36="Número",SUM($GL36:GQ36)/SUM($DO36:DT36)*($AX36-$AW36),SUM($GL36:GQ36)/SUM($DO36:DT36))*($AX36-$AW36),IF($DG36="Creciente",GQ36*GQ36/GQ36,IF(AND($DG36="Constante",$AB36="Porcentaje"),AVERAGEIF($GL36:GQ36,"&lt;&gt;0")/AVERAGEIF($DO36:DT36,"&lt;&gt;0")*100,SUM($GL36:GQ36)/SUM($DO36:DT36)*$DU36))),GW36))</f>
        <v>100</v>
      </c>
      <c r="GY36" s="149" t="str">
        <f t="shared" si="28"/>
        <v/>
      </c>
      <c r="GZ36" s="149" t="str">
        <f t="shared" si="29"/>
        <v>1. Análisis y evaluación de solicitudes o iniciativas de relacionamiento internacional
2. Ejecución de la acción de relacionamiento internacional</v>
      </c>
      <c r="HA36" s="149" t="str">
        <f t="shared" si="30"/>
        <v/>
      </c>
      <c r="HB36" s="149" t="str">
        <f t="shared" si="31"/>
        <v xml:space="preserve">Informe de Gestión de las diferentes acciones a su cierre y según corresponda diferentes documentos generados de acuerdo con el desarrollo de la misma </v>
      </c>
      <c r="HC36" s="149" t="str">
        <f t="shared" ref="HC36:HL45" si="85">+VLOOKUP($A36,consolidado,MATCH(HC$5,consolidadofila,0),0)</f>
        <v>Cumple</v>
      </c>
      <c r="HD36" s="149" t="str">
        <f t="shared" si="85"/>
        <v>No programó</v>
      </c>
      <c r="HE36" s="149" t="str">
        <f t="shared" si="85"/>
        <v>Adecuado</v>
      </c>
      <c r="HF36" s="149" t="str">
        <f t="shared" si="85"/>
        <v>Coherente</v>
      </c>
      <c r="HG36" s="149" t="str">
        <f t="shared" si="85"/>
        <v>No aplica</v>
      </c>
      <c r="HH36" s="149" t="str">
        <f t="shared" si="85"/>
        <v>Concuerda</v>
      </c>
      <c r="HI36" s="149">
        <f t="shared" si="85"/>
        <v>0</v>
      </c>
      <c r="HJ36" s="149" t="str">
        <f t="shared" si="85"/>
        <v>Adecuado</v>
      </c>
      <c r="HK36" s="149" t="str">
        <f t="shared" si="85"/>
        <v>Oportuna</v>
      </c>
      <c r="HL36" s="149" t="str">
        <f t="shared" si="85"/>
        <v>Aun cuando el indicador tiene programación para el mes de junio se presenta avance de la gestión adelantada durante el periodo la cual está registrada a conformidad</v>
      </c>
      <c r="HM36" s="149" t="str">
        <f t="shared" ref="HM36:HX45" si="86">+VLOOKUP($A36,consolidado,MATCH(HM$5,consolidadofila,0),0)</f>
        <v>Marcela Andrea García Guerrero</v>
      </c>
      <c r="HN36" s="149" t="str">
        <f t="shared" si="86"/>
        <v>Cumple</v>
      </c>
      <c r="HO36" s="149" t="str">
        <f t="shared" si="86"/>
        <v>Cumplido</v>
      </c>
      <c r="HP36" s="149" t="str">
        <f t="shared" si="86"/>
        <v>Adecuado</v>
      </c>
      <c r="HQ36" s="149" t="str">
        <f t="shared" si="86"/>
        <v>Coherente</v>
      </c>
      <c r="HR36" s="149" t="str">
        <f t="shared" si="86"/>
        <v>Concuerda</v>
      </c>
      <c r="HS36" s="149" t="str">
        <f t="shared" si="86"/>
        <v>Concuerda</v>
      </c>
      <c r="HT36" s="149">
        <f t="shared" si="86"/>
        <v>0</v>
      </c>
      <c r="HU36" s="149" t="str">
        <f t="shared" si="86"/>
        <v>Adecuado</v>
      </c>
      <c r="HV36" s="149" t="str">
        <f t="shared" si="86"/>
        <v>Oportuna</v>
      </c>
      <c r="HW36" s="149" t="str">
        <f t="shared" si="86"/>
        <v>Ninguna</v>
      </c>
      <c r="HX36" s="149" t="str">
        <f t="shared" si="86"/>
        <v>Marcela Andrea García Guerrero</v>
      </c>
    </row>
    <row r="37" spans="1:241" s="149" customFormat="1" x14ac:dyDescent="0.3">
      <c r="A37" s="145" t="s">
        <v>367</v>
      </c>
      <c r="B37" s="146" t="s">
        <v>1144</v>
      </c>
      <c r="C37" s="146" t="s">
        <v>1144</v>
      </c>
      <c r="D37" s="146" t="s">
        <v>1144</v>
      </c>
      <c r="E37" s="146" t="s">
        <v>1144</v>
      </c>
      <c r="F37" s="136" t="s">
        <v>1458</v>
      </c>
      <c r="G37" s="146" t="s">
        <v>1144</v>
      </c>
      <c r="H37" s="146" t="s">
        <v>1144</v>
      </c>
      <c r="I37" s="149" t="s">
        <v>1146</v>
      </c>
      <c r="J37" s="154" t="s">
        <v>56</v>
      </c>
      <c r="K37" s="154" t="s">
        <v>57</v>
      </c>
      <c r="L37" s="154" t="s">
        <v>58</v>
      </c>
      <c r="M37" s="154" t="s">
        <v>1147</v>
      </c>
      <c r="N37" s="154" t="s">
        <v>1448</v>
      </c>
      <c r="O37" s="154" t="s">
        <v>1459</v>
      </c>
      <c r="P37" s="148" t="s">
        <v>1458</v>
      </c>
      <c r="Q37" s="154" t="s">
        <v>1460</v>
      </c>
      <c r="R37" s="154" t="s">
        <v>1461</v>
      </c>
      <c r="S37" s="154" t="s">
        <v>1462</v>
      </c>
      <c r="T37" s="154" t="s">
        <v>1463</v>
      </c>
      <c r="U37" s="154">
        <v>0</v>
      </c>
      <c r="V37" s="154" t="s">
        <v>1464</v>
      </c>
      <c r="W37" s="148" t="s">
        <v>638</v>
      </c>
      <c r="X37" s="154" t="s">
        <v>638</v>
      </c>
      <c r="Y37" s="154" t="s">
        <v>1465</v>
      </c>
      <c r="Z37" s="154" t="s">
        <v>1466</v>
      </c>
      <c r="AA37" s="154" t="s">
        <v>1467</v>
      </c>
      <c r="AB37" s="154" t="s">
        <v>639</v>
      </c>
      <c r="AC37" s="154" t="s">
        <v>1159</v>
      </c>
      <c r="AD37" s="154" t="s">
        <v>1160</v>
      </c>
      <c r="AE37" s="154">
        <v>2018</v>
      </c>
      <c r="AF37" s="154">
        <v>0</v>
      </c>
      <c r="AG37" s="154">
        <v>2018</v>
      </c>
      <c r="AH37" s="154">
        <v>0</v>
      </c>
      <c r="AI37" s="154">
        <v>0</v>
      </c>
      <c r="AJ37" s="154">
        <v>3</v>
      </c>
      <c r="AK37" s="154">
        <v>10</v>
      </c>
      <c r="AL37" s="220">
        <v>1</v>
      </c>
      <c r="AM37" s="154">
        <v>0</v>
      </c>
      <c r="AN37" s="146" t="s">
        <v>1144</v>
      </c>
      <c r="AO37" s="146" t="s">
        <v>1144</v>
      </c>
      <c r="AP37" s="146" t="s">
        <v>1144</v>
      </c>
      <c r="AQ37" s="146" t="s">
        <v>1144</v>
      </c>
      <c r="AR37" s="146" t="s">
        <v>1144</v>
      </c>
      <c r="AS37" s="150" t="s">
        <v>1144</v>
      </c>
      <c r="AT37" s="156">
        <v>0</v>
      </c>
      <c r="AU37" s="156">
        <v>0</v>
      </c>
      <c r="AV37" s="156">
        <v>3</v>
      </c>
      <c r="AW37" s="156">
        <v>10</v>
      </c>
      <c r="AX37" s="211">
        <v>6</v>
      </c>
      <c r="AY37" s="156">
        <v>0</v>
      </c>
      <c r="BD37" s="149">
        <v>0</v>
      </c>
      <c r="BJ37" s="149">
        <v>0</v>
      </c>
      <c r="BK37" s="146" t="s">
        <v>1144</v>
      </c>
      <c r="BL37" s="146" t="s">
        <v>1144</v>
      </c>
      <c r="BM37" s="146" t="s">
        <v>1144</v>
      </c>
      <c r="BN37" s="146" t="s">
        <v>1144</v>
      </c>
      <c r="BO37" s="146" t="s">
        <v>1144</v>
      </c>
      <c r="BP37" s="146" t="s">
        <v>1144</v>
      </c>
      <c r="BQ37" s="146" t="s">
        <v>1144</v>
      </c>
      <c r="BR37" s="146" t="s">
        <v>1144</v>
      </c>
      <c r="BS37" s="146" t="s">
        <v>1144</v>
      </c>
      <c r="BT37" s="146" t="s">
        <v>1144</v>
      </c>
      <c r="BU37" s="146" t="s">
        <v>1144</v>
      </c>
      <c r="BV37" s="146" t="s">
        <v>1144</v>
      </c>
      <c r="BW37" s="219" t="s">
        <v>1144</v>
      </c>
      <c r="BX37" s="219" t="s">
        <v>1144</v>
      </c>
      <c r="BY37" s="219" t="s">
        <v>1144</v>
      </c>
      <c r="BZ37" s="219">
        <v>1</v>
      </c>
      <c r="CA37" s="219" t="s">
        <v>1144</v>
      </c>
      <c r="CB37" s="219" t="s">
        <v>1144</v>
      </c>
      <c r="CC37" s="219" t="s">
        <v>1144</v>
      </c>
      <c r="CD37" s="219">
        <v>1</v>
      </c>
      <c r="CE37" s="219" t="s">
        <v>266</v>
      </c>
      <c r="CF37" s="219" t="s">
        <v>1144</v>
      </c>
      <c r="CG37" s="219" t="s">
        <v>1144</v>
      </c>
      <c r="CH37" s="219" t="s">
        <v>1144</v>
      </c>
      <c r="CI37" s="219" t="s">
        <v>1144</v>
      </c>
      <c r="CJ37" s="219" t="s">
        <v>1144</v>
      </c>
      <c r="CK37" s="219" t="s">
        <v>1144</v>
      </c>
      <c r="CL37" s="219" t="s">
        <v>1144</v>
      </c>
      <c r="CM37" s="219" t="s">
        <v>1144</v>
      </c>
      <c r="CN37" s="219" t="s">
        <v>1144</v>
      </c>
      <c r="CO37" s="219" t="s">
        <v>1144</v>
      </c>
      <c r="CP37" s="219" t="s">
        <v>1144</v>
      </c>
      <c r="CQ37" s="219" t="s">
        <v>1144</v>
      </c>
      <c r="CR37" s="219" t="s">
        <v>1144</v>
      </c>
      <c r="CS37" s="219" t="s">
        <v>1144</v>
      </c>
      <c r="CT37" s="219" t="s">
        <v>1144</v>
      </c>
      <c r="CU37" s="219" t="s">
        <v>1144</v>
      </c>
      <c r="CV37" s="219" t="s">
        <v>1144</v>
      </c>
      <c r="CW37" s="219" t="s">
        <v>1144</v>
      </c>
      <c r="CX37" s="219" t="s">
        <v>1144</v>
      </c>
      <c r="CY37" s="219" t="s">
        <v>1144</v>
      </c>
      <c r="CZ37" s="219" t="s">
        <v>1144</v>
      </c>
      <c r="DA37" s="219" t="s">
        <v>1144</v>
      </c>
      <c r="DB37" s="152" t="str">
        <f t="shared" si="32"/>
        <v xml:space="preserve">Plan de Acción, SGC, PROCESO: Internacionalización de Bogotá, </v>
      </c>
      <c r="DC37" s="149" t="str">
        <f t="shared" si="75"/>
        <v/>
      </c>
      <c r="DD37" s="149" t="str">
        <f t="shared" si="75"/>
        <v>1. Evaluación de asistencia técnica a brindar a sectores y entidades.
2. Prestar asesoría y acompañamiento técnico en el desarrollo de la acción establecida</v>
      </c>
      <c r="DE37" s="149" t="str">
        <f t="shared" si="75"/>
        <v/>
      </c>
      <c r="DF37" s="149" t="str">
        <f t="shared" si="75"/>
        <v xml:space="preserve">Informe de Gestión de las diferentes acciones a su cierre y según corresponda diferentes documentos generados de acuerdo con el desarrollo de la misma </v>
      </c>
      <c r="DG37" s="149" t="str">
        <f t="shared" si="75"/>
        <v>Suma</v>
      </c>
      <c r="DH37" s="149">
        <f t="shared" si="2"/>
        <v>6</v>
      </c>
      <c r="DI37" s="149">
        <f t="shared" si="3"/>
        <v>0</v>
      </c>
      <c r="DJ37" s="149">
        <f t="shared" si="4"/>
        <v>0</v>
      </c>
      <c r="DK37" s="149">
        <f t="shared" si="5"/>
        <v>0</v>
      </c>
      <c r="DL37" s="149">
        <f t="shared" si="6"/>
        <v>0</v>
      </c>
      <c r="DM37" s="149">
        <f t="shared" si="7"/>
        <v>0</v>
      </c>
      <c r="DN37" s="149">
        <f t="shared" si="36"/>
        <v>6</v>
      </c>
      <c r="DO37" s="149">
        <f t="shared" ref="DO37:DT46" si="87">+IF(AND($X37="Constante",$DG37="Constante"),$DU37,IF(AND($AB37="Porcentaje",$X37="Creciente",$DG37="Suma",$AW37&lt;&gt;"No Disponible / No Aplica",IFERROR($AX37-$AW37,0)&gt;0),VLOOKUP($A37,consolidado,MATCH(DO$5,consolidadofila,0),0)/$DH37*$AX37*($AX37-$AW37)/$AX37,IF(AND($AB37="Porcentaje",$X37="Creciente",,$AW37&lt;&gt;"No Disponible / No Aplica",IFERROR($AX37-$AW37,0)&gt;0,OR($DG37="Constante",$DG37="Creciente")),VLOOKUP($A37,consolidado,MATCH(DO$5,consolidadofila,0),0)*($AX37-$AW37)/$AX37,IF(AND($AB37="Número",$X37="Creciente"),VLOOKUP($A37,consolidado,MATCH(DO$5,consolidadofila,0),0),IF(AND($AB37="Porcentaje",$DG37="Suma"),VLOOKUP($A37,consolidado,MATCH(DO$5,consolidadofila,0),0)/$DH37*$AX37,IF(AND($AB37="Porcentaje",OR($DG37="Constante",$DG37="Creciente")),VLOOKUP($A37,consolidado,MATCH(DO$5,consolidadofila,0),0),IF($AB37="Número",VLOOKUP($A37,consolidado,MATCH(DO$5,consolidadofila,0),0))))))))</f>
        <v>0</v>
      </c>
      <c r="DP37" s="149">
        <f t="shared" si="87"/>
        <v>0</v>
      </c>
      <c r="DQ37" s="149">
        <f t="shared" si="87"/>
        <v>0</v>
      </c>
      <c r="DR37" s="149">
        <f t="shared" si="87"/>
        <v>0</v>
      </c>
      <c r="DS37" s="149">
        <f t="shared" si="87"/>
        <v>0</v>
      </c>
      <c r="DT37" s="149">
        <f t="shared" si="87"/>
        <v>6</v>
      </c>
      <c r="DU37" s="149">
        <f t="shared" si="76"/>
        <v>6</v>
      </c>
      <c r="DV37" s="149">
        <f t="shared" si="76"/>
        <v>0</v>
      </c>
      <c r="DW37" s="149" t="str">
        <f t="shared" si="76"/>
        <v/>
      </c>
      <c r="DX37" s="149" t="str">
        <f t="shared" si="76"/>
        <v xml:space="preserve">Las acciones específicas dan inicio en el mes de febrero
</v>
      </c>
      <c r="DY37" s="149" t="str">
        <f t="shared" si="76"/>
        <v>N/A</v>
      </c>
      <c r="DZ37" s="149" t="str">
        <f t="shared" si="76"/>
        <v>N/A</v>
      </c>
      <c r="EA37" s="149">
        <f t="shared" si="76"/>
        <v>0</v>
      </c>
      <c r="EB37" s="149" t="str">
        <f t="shared" si="76"/>
        <v/>
      </c>
      <c r="EC37" s="149" t="str">
        <f t="shared" si="76"/>
        <v>Se avanzó en la siguiente acción:
1. Acompañamiento a la Secretaría de Cultura en la Comixta con Jamaica:
Kingston, Jamaica, es una ciudad reconocida por la consolidación de una identidad en la que el arte y la cultura cumplen un rol fundamental. Por esto Kingston fue declarada por UNESCO como Ciudad Creativa de la Música en 2015, al igual que hace parte de la Red Global de Distritos Culturales (Global Cultural Districts Network: GCDN).}
En este sentido, para la ciudad de Bogotá es de vital importancia contar con la asistencia técnica para la consolidación de modelos de operación, sostenibilidad económica y social, y programación artística en el espacio público.
Este proyecto es una comisión mixta de cooperación entre Bogotá y Kingston sobre asuntos del sector cultural. Está en el interés de ambos países aprender del otro y fomentar el intercambio de conocimiento. Ambos países se encuentran en capacidad de ofrecer asistencia técnica valiosa para el otro. Enesta asistencia técnica la DDRI apoyó con la siguiente gestión:
- Identificar la oportunidad de postulación a este ejercicio de asistencia técnica en doble vía.
- Comunicar oportunamente a la Secretaria de Cultura.
- Apoyar la comunicación entre SCRD y APC Colombia.
- Facilitar la comunicación entre SCRD y la agregada cultural de la Embajada de Jamaica en Bogotá.
- Revisar la propuesta de postulación.
Informe final para consolidación y cierre en el mes de junio</v>
      </c>
      <c r="ED37" s="149" t="str">
        <f t="shared" si="76"/>
        <v>No se reportaron retrasos ni dificultades en la gestión</v>
      </c>
      <c r="EE37" s="149" t="str">
        <f t="shared" si="77"/>
        <v>1. Acompañamiento a la Secretaría de Cultura en la Comixta con Jamaica:
Como resultado de la gestión se logró que el proyecto fuera elegido para su realización, con lo cual se logrará el intercambio bilateral para generar un entorno propicio para el desarrollo económico, social y cultural de Bogotá, a través de la consolidación, fomento y sostenibilidad de Distritos Creativos; asi como también, para enriquecer la implementación de metodologías de medición económica de la cultura y la creatividad en Jamaica.</v>
      </c>
      <c r="EF37" s="149">
        <f t="shared" si="77"/>
        <v>0</v>
      </c>
      <c r="EG37" s="149" t="str">
        <f t="shared" si="77"/>
        <v/>
      </c>
      <c r="EH37" s="149" t="str">
        <f t="shared" si="77"/>
        <v>En el mes de marzo seavanzó en las siguientes acciones:
1. Visita de la Empresa Pública de Movilidad de Ecuador para conocer buena práctica de movilidad:
La Empresa Pública de Movilidad (EPM) de la ciudad de Ibarra de la República de Ecuador solicitó a la DDRI la coordinación de una reunión con motivo de la visita programada que tenían del 4 al 7 de marzo en la Ciudad de Bogotá para conocer los programas de convivencia a través de la Cultura Ciudadana específicamente en el área de la movilidad. Para lo cual la DDRI realizó la siguiente gestión:
- Coordinación para la adjudicación del programa y/o proyecto de cooperación o relacionamiento estratégico internacional
- Se acompañó en todo momento el proceso de intercambio de saberes, y facilitó el encuentro y la comunicación.
Informe en construcción para reprotar en junio
2. Construcción del poyecto para presentar a la subvención de la Comisión Europea "Autoridades locales: asociaciones por unas ciudades sostenibles 2020" con la ACPDV - 
En marzo de 2020, Mariana Flores Mayen, Directora Ejecutiva de Representación Institucional de la Jefatura de Gobierno de la Ciudad México, invita a la ciudad de Bogotá a participar en la convocatoria de la Comisión Europea sobre "Autoridades locales: asociaciones por unas ciudades sostenibles 2020". 
Desde la Dirección Distrital de Relaciones Internacionales se revisó el concepto original del proyecto y términos de referencia. Mediante comunicación oficial se presenta el proyecto a la Alta Consejería para los Derechos de las Víctimas, la Paz y la Reconciliación – ACDVPR. Se coordina con la ACDVPR la formulación y presentación del proyecto.
Informe final para consolidación y cierre en el mes de junio</v>
      </c>
      <c r="EI37" s="149" t="str">
        <f t="shared" si="77"/>
        <v>No se reportaron retrasos ni dificultades en la gestión</v>
      </c>
      <c r="EJ37" s="149" t="str">
        <f t="shared" si="77"/>
        <v xml:space="preserve">1. Visita de la Empresa Pública de Movilidad de Ecuador para conocer buena práctica de movilidad: 
Bogotá salió fortalecida al demostrar su posición de liderazgo en el tema. Esto propicia proyección de la ciudad puesto que los visitantes de Ecuador aspiran que esta cooperación se mantenga de manera que ellos logren fortalecer sus instituciones en beneficio de sus conciudadanos.
2. Construcción del poyecto para presentar a la subvención de la Comisión Europea "Autoridades locales: asociaciones por unas ciudades sostenibles 2020" con la ACPDV - 
El proyecto busca mejorar las capacidades institucionales y administrativas de las ciudades y sus autoridades locales en torno a la promoción y el fortalecimiento de una paz sostenible; reforzar el diálogo político y sus desafíos urbanos en todos los niveles de decisión y desde una perspectiva multi actor; fortalecer los mecanismos de consulta, coordinación y cooperación entre los sectores público privado, la sociedad civil y otras partes interesadas en el proceso de toma de decisiones y la obtención de resultados en materia de paz, convivencia, igualdad e inclusión social y, mejorar las capacidades de las ciudades y las autoridades locales para concebir y aplicar políticas públicas integradoras en torno a ciudades en paz
</v>
      </c>
      <c r="EK37" s="149">
        <f t="shared" si="77"/>
        <v>0</v>
      </c>
      <c r="EL37" s="149" t="str">
        <f t="shared" si="77"/>
        <v/>
      </c>
      <c r="EM37" s="149" t="str">
        <f t="shared" si="77"/>
        <v>En el mes de abril se avanzó en la siguiente acción:
1. Articulación de los sectores de la alcaldía de Bogotá para gestionar donaciones para el programa Bogotá Solidaria en Casa
La Alcaldía Mayor de Bogotá creó el Sistema Distrital Bogotá Solidaria en Casa con el fin de atender la contingencia social y económica de Bogotá derivada del COVID-19. Este sistema busca apoyar a más de 350 mil hogares pobres y vulnerables de la ciudad.
A la DDRI se le asignó la coordinación de campaña de donaciones y la articulación de las entidades del distrito con el fin de recaudar recursos en dinero y en especie de empresas y organismos internacionales.
- La Dirección Distrital de Relaciones Internacionales DDRI gestiona las donaciones en dinero y en especie con empresas del sector privado. 
-  Las otras entidades distritales involucradas en la gestión de donaciones reportan las en una matriz a la DDRI para su consolidación y visibilización. 
- La DDRI luego le hace seguimiento a cada entidad con el fin de asegurarse que:
•Cada donación sea sustentada con los soportes correspondientes.
•Cada empresa envíe los logos y que reciban el reconocimiento y visibilidad en la página web, si así lo desean. Esto se hace de manera articulada con el equipo de comunicaciones del Distrito.
•Las empresas reciban una carta firmada por la alcaldesa como agradecimiento 
Informe final para consolidación y cierre en el mes de junio</v>
      </c>
      <c r="EN37" s="149" t="str">
        <f t="shared" si="77"/>
        <v>No se reportaron retrasos ni dificultades en la gestión</v>
      </c>
      <c r="EO37" s="149" t="str">
        <f t="shared" si="78"/>
        <v>1.  Articulación de los sectores de la alcaldía de Bogotá para gestionar donaciones para el programa Bogotá Solidaria en Casa:
Gracias a la labor de coordinación de la DDRI, y al trabajo de todas las entidades distritales que se unieron al proyecto, esta iniciativa se convirtió en la campaña para recaudar donaciones en un solo día más exitosa en la historia de Colombia, al haber logrado recaudar más de 51 mil millones de pesos, con aportes de 36.771 ciudadanos y más de 130 empresas, fundaciones y gobiernos extranjeros, anunciadas en un lapso de 12 horas consecutivas.</v>
      </c>
      <c r="EP37" s="149">
        <f t="shared" si="78"/>
        <v>0</v>
      </c>
      <c r="EQ37" s="149" t="str">
        <f t="shared" si="78"/>
        <v/>
      </c>
      <c r="ER37" s="149" t="str">
        <f t="shared" si="78"/>
        <v>Durante el mes de mayo se avanzó en las siguientes acciones:
1. Acompañamiento a la secretaría de Movilidad en el proyecto de cooperación técnica de VISA -
El objetivo de la propuesta comercial de VISA es el de generar un Sistema de Recaudo Integrando pagos abiertos, transformando la tecnología actual que utiliza la tarjeta Tu Llave Plus (LG CNS)  con tarjetas de contacto del sistema bancario (Tecnología TBD). Para generar una red de pagos global en el sistema integrado de Transporte. 
Se organizó la reunión con Secretaría de Movilidad y Transmilenio para que VISA pudiera realizar la presentación de la propuesta comercial.  A esta reunión asistieron por parte de VISA:  Juan F. Schultze (Director de Asuntos con el Gobierno), Aída Esteban Millat (Directora de Movilidad Urbana de Latinoamérica); Diego Noreña (Movilidad Urbana); Humberto Guihur (Country Manager para la Oficina de Colombia).  Por parte de la Secretaría de Movilidad participaron: Sebastián Velásquez (Director de Planeación de la Secretaría de Movilidad); Jerson Carrillo (Director de Tecnología de Transmilenio); Jorge Torres (Asesor de la Oficina de Tic de Transmilenio); Nathaly Melo (Asesora Dirección de TIC de Transmilenio) y Liliana Diago (Profesional Especializado de la Subdirección de Proyección Internacional de la Alcaldía). 
Informe final para consolidación y cierre en el mes de junio
2. Presentación de proyectos como aliados a la Convocatoria de Bienes Públicos Regionales del BID -
La iniciativa Bienes Públicos Regionales del BID financia soluciones conjuntas a desafíos de desarrollo compartidos a través de la cooperación regional.
El 8 de mayo, la Prefeitura de la Ciudad de São Paulo invitó a la Alcaldía de Bogotá a unirse a la convocatoria de Bienes Públicos Regionales a través de la propuesta de proyecto “La recuperación económica de los trabajadores “invisibles” en América Latina, a través de la Secretaría Distrital de Integración Social. 
Gestión realizada por la DDRI:
- Gestión realizada para la adjudicación del programa y/o proyecto de cooperación o relacionamiento estratégico internacional.
- Revisar el concepto de oferta de cooperación. Mediante comunicación oficial presenta el proyecto de cooperación a la Secretaría Distrital de integración Social. 
- Acompañar la construcción de la participación distrital en el proyecto de cooperación. 
Informe final para consolidación y cierre en el mes de junio</v>
      </c>
      <c r="ES37" s="149" t="str">
        <f t="shared" si="78"/>
        <v>No se reportaron retrasos ni dificultades en la gestión</v>
      </c>
      <c r="ET37" s="149" t="str">
        <f t="shared" si="78"/>
        <v>1. Acompañamiento a la secretaría de Movilidad en el proyecto de cooperación técnica de VISA -Se cumplió el objetivo de articular a Visa con la Secretaría de Movilidad y de Transmilenio, y se enfatizó que las propuestas comerciales en ningún caso comprometen a estas entidades a ninguna toma de decisiones al respecto. 
2. Presentación de proyectos como aliados a la Convocatoria de Bienes Públicos Regionales del BID - 
El proyecto de cooperación “La recuperación económica de los trabajadores invisibles en América Latina” espera lograr tres resultados: 1) Recopilación de datos; 2) Estudio de los trabajadores invisibles; 3) Recomendaciones de política y 4) Documento de buenas prácticas.</v>
      </c>
      <c r="EU37" s="149">
        <f t="shared" si="78"/>
        <v>6</v>
      </c>
      <c r="EV37" s="149" t="str">
        <f t="shared" si="78"/>
        <v/>
      </c>
      <c r="EW37" s="149" t="str">
        <f t="shared" si="78"/>
        <v>Para el mes de junio se consolidó el informe de gestión final de las asesorías y asistencias técnicas adelantadas en los meses anteriores, las cuales se relacionan a continuación:
1. Acompañamiento a la Secretaría de Cultura en la Comixta con Jamaica
2. Visita de la Empresa Pública de Movilidad de Ecuador para conocer buena práctica de movilidad
3.  Construcción del poyecto para presentar a la subvención de la Comisión Europea "Autoridades locales: asociaciones por unas ciudades sostenibles 2020" con la ACPDV
4. Articulación de los sectores de la alcaldía de Bogotá para gestionar donaciones para el programa Bogotá Solidaria en Casa
5. Acompañamiento a la secretaría de Movilidad en el proyecto de cooperación técnica de VISA
6. Presentación de proyectos como aliados a la Convocatoria de Bienes Públicos Regionales del BID</v>
      </c>
      <c r="EX37" s="149" t="str">
        <f t="shared" si="78"/>
        <v>No se reportaron retrasos ni dificultades en la gestión</v>
      </c>
      <c r="EY37" s="149" t="str">
        <f t="shared" si="78"/>
        <v>Beneficios reportados en los meses anteriores</v>
      </c>
      <c r="EZ37" s="149">
        <f t="shared" si="78"/>
        <v>6</v>
      </c>
      <c r="FA37" s="149">
        <f t="shared" si="78"/>
        <v>0</v>
      </c>
      <c r="FB37" s="149" t="str">
        <f t="shared" si="78"/>
        <v/>
      </c>
      <c r="FC37" s="149" t="str">
        <f t="shared" si="78"/>
        <v/>
      </c>
      <c r="FD37" s="149" t="str">
        <f t="shared" si="79"/>
        <v/>
      </c>
      <c r="FE37" s="149" t="str">
        <f t="shared" si="79"/>
        <v/>
      </c>
      <c r="FF37" s="149" t="str">
        <f t="shared" si="79"/>
        <v/>
      </c>
      <c r="FG37" s="149" t="str">
        <f t="shared" si="79"/>
        <v/>
      </c>
      <c r="FH37" s="149" t="str">
        <f t="shared" si="79"/>
        <v/>
      </c>
      <c r="FI37" s="149" t="str">
        <f t="shared" si="79"/>
        <v/>
      </c>
      <c r="FJ37" s="149" t="str">
        <f t="shared" si="79"/>
        <v/>
      </c>
      <c r="FK37" s="149" t="str">
        <f t="shared" si="79"/>
        <v/>
      </c>
      <c r="FL37" s="149" t="str">
        <f t="shared" si="79"/>
        <v/>
      </c>
      <c r="FM37" s="149" t="str">
        <f t="shared" si="79"/>
        <v/>
      </c>
      <c r="FN37" s="149" t="str">
        <f t="shared" si="80"/>
        <v/>
      </c>
      <c r="FO37" s="149" t="str">
        <f t="shared" si="80"/>
        <v/>
      </c>
      <c r="FP37" s="149" t="str">
        <f t="shared" si="80"/>
        <v/>
      </c>
      <c r="FQ37" s="149" t="str">
        <f t="shared" si="80"/>
        <v/>
      </c>
      <c r="FR37" s="149" t="str">
        <f t="shared" si="80"/>
        <v/>
      </c>
      <c r="FS37" s="149" t="str">
        <f t="shared" si="80"/>
        <v/>
      </c>
      <c r="FT37" s="149" t="str">
        <f t="shared" si="80"/>
        <v/>
      </c>
      <c r="FU37" s="149" t="str">
        <f t="shared" si="80"/>
        <v/>
      </c>
      <c r="FV37" s="149" t="str">
        <f t="shared" si="80"/>
        <v/>
      </c>
      <c r="FW37" s="149" t="str">
        <f t="shared" si="80"/>
        <v/>
      </c>
      <c r="FX37" s="149" t="str">
        <f t="shared" si="81"/>
        <v/>
      </c>
      <c r="FY37" s="149" t="str">
        <f t="shared" si="81"/>
        <v/>
      </c>
      <c r="FZ37" s="149" t="str">
        <f t="shared" si="81"/>
        <v/>
      </c>
      <c r="GA37" s="149" t="str">
        <f t="shared" si="81"/>
        <v/>
      </c>
      <c r="GB37" s="149" t="str">
        <f t="shared" si="81"/>
        <v/>
      </c>
      <c r="GC37" s="149" t="str">
        <f t="shared" si="81"/>
        <v/>
      </c>
      <c r="GD37" s="149" t="str">
        <f t="shared" si="81"/>
        <v/>
      </c>
      <c r="GE37" s="149" t="str">
        <f t="shared" si="81"/>
        <v/>
      </c>
      <c r="GF37" s="149">
        <f t="shared" si="33"/>
        <v>0</v>
      </c>
      <c r="GG37" s="149">
        <f t="shared" si="22"/>
        <v>0</v>
      </c>
      <c r="GH37" s="149">
        <f t="shared" si="23"/>
        <v>0</v>
      </c>
      <c r="GI37" s="149">
        <f t="shared" si="24"/>
        <v>0</v>
      </c>
      <c r="GJ37" s="149">
        <f t="shared" si="25"/>
        <v>0</v>
      </c>
      <c r="GK37" s="149">
        <f t="shared" si="34"/>
        <v>6</v>
      </c>
      <c r="GL37" s="149">
        <f t="shared" si="15"/>
        <v>0</v>
      </c>
      <c r="GM37" s="149">
        <f t="shared" si="16"/>
        <v>0</v>
      </c>
      <c r="GN37" s="149">
        <f t="shared" si="17"/>
        <v>0</v>
      </c>
      <c r="GO37" s="149">
        <f t="shared" si="18"/>
        <v>0</v>
      </c>
      <c r="GP37" s="149">
        <f t="shared" si="19"/>
        <v>0</v>
      </c>
      <c r="GQ37" s="149">
        <f t="shared" si="19"/>
        <v>100</v>
      </c>
      <c r="GR37" s="153">
        <f t="shared" si="83"/>
        <v>100</v>
      </c>
      <c r="GS37" s="149" t="str">
        <f t="shared" si="37"/>
        <v>No Programó</v>
      </c>
      <c r="GT37" s="149" t="str">
        <f>+IF(OR($A37=52,$A37=124),1,IFERROR(IF($X37="Creciente",IF($AB37="Número",SUM($GL37:GM37)/SUM($DO37:DP37)*($AX37-$AW37),SUM($GL37:GM37)/SUM($DO37:DP37))*($AX37-$AW37),IF($DG37="Creciente",GM37*GM37/GM37,IF(AND($DG37="Constante",$AB37="Porcentaje"),AVERAGEIF($GL37:GM37,"&lt;&gt;0")/AVERAGEIF($DO37:DP37,"&lt;&gt;0")*100,SUM($GL37:GM37)/SUM($DO37:DP37)*$DU37))),GS37))</f>
        <v>No Programó</v>
      </c>
      <c r="GU37" s="149" t="str">
        <f>+IF(OR($A37=52,$A37=124),1,IFERROR(IF($X37="Creciente",IF($AB37="Número",SUM($GL37:GN37)/SUM($DO37:DQ37)*($AX37-$AW37),SUM($GL37:GN37)/SUM($DO37:DQ37))*($AX37-$AW37),IF($DG37="Creciente",GN37*GN37/GN37,IF(AND($DG37="Constante",$AB37="Porcentaje"),AVERAGEIF($GL37:GN37,"&lt;&gt;0")/AVERAGEIF($DO37:DQ37,"&lt;&gt;0")*100,SUM($GL37:GN37)/SUM($DO37:DQ37)*$DU37))),GT37))</f>
        <v>No Programó</v>
      </c>
      <c r="GV37" s="149" t="str">
        <f>+IF(OR($A37=52,$A37=124),1,IFERROR(IF($X37="Creciente",IF($AB37="Número",SUM($GL37:GO37)/SUM($DO37:DR37)*($AX37-$AW37),SUM($GL37:GO37)/SUM($DO37:DR37))*($AX37-$AW37),IF($DG37="Creciente",GO37*GO37/GO37,IF(AND($DG37="Constante",$AB37="Porcentaje"),AVERAGEIF($GL37:GO37,"&lt;&gt;0")/AVERAGEIF($DO37:DR37,"&lt;&gt;0")*100,SUM($GL37:GO37)/SUM($DO37:DR37)*$DU37))),GU37))</f>
        <v>No Programó</v>
      </c>
      <c r="GW37" s="149" t="str">
        <f>+IF(OR($A37=52,$A37=124),1,IFERROR(IF($X37="Creciente",IF($AB37="Número",SUM($GL37:GP37)/SUM($DO37:DS37)*($AX37-$AW37),SUM($GL37:GP37)/SUM($DO37:DS37))*($AX37-$AW37),IF($DG37="Creciente",GP37*GP37/GP37,IF(AND($DG37="Constante",$AB37="Porcentaje"),AVERAGEIF($GL37:GP37,"&lt;&gt;0")/AVERAGEIF($DO37:DS37,"&lt;&gt;0")*100,SUM($GL37:GP37)/SUM($DO37:DS37)*$DU37))),GV37))</f>
        <v>No Programó</v>
      </c>
      <c r="GX37" s="149">
        <f>+IF(OR($A37=52,$A37=124),1,IFERROR(IF($X37="Creciente",IF($AB37="Número",SUM($GL37:GQ37)/SUM($DO37:DT37)*($AX37-$AW37),SUM($GL37:GQ37)/SUM($DO37:DT37))*($AX37-$AW37),IF($DG37="Creciente",GQ37*GQ37/GQ37,IF(AND($DG37="Constante",$AB37="Porcentaje"),AVERAGEIF($GL37:GQ37,"&lt;&gt;0")/AVERAGEIF($DO37:DT37,"&lt;&gt;0")*100,SUM($GL37:GQ37)/SUM($DO37:DT37)*$DU37))),GW37))</f>
        <v>100</v>
      </c>
      <c r="GY37" s="149" t="str">
        <f t="shared" si="28"/>
        <v/>
      </c>
      <c r="GZ37" s="149" t="str">
        <f t="shared" si="29"/>
        <v>1. Evaluación de asistencia técnica a brindar a sectores y entidades.
2. Prestar asesoría y acompañamiento técnico en el desarrollo de la acción establecida</v>
      </c>
      <c r="HA37" s="149" t="str">
        <f t="shared" si="30"/>
        <v/>
      </c>
      <c r="HB37" s="149" t="str">
        <f t="shared" si="31"/>
        <v xml:space="preserve">Informe de Gestión de las diferentes acciones a su cierre y según corresponda diferentes documentos generados de acuerdo con el desarrollo de la misma </v>
      </c>
      <c r="HC37" s="149" t="str">
        <f t="shared" si="85"/>
        <v>Cumple</v>
      </c>
      <c r="HD37" s="149" t="str">
        <f t="shared" si="85"/>
        <v>No programó</v>
      </c>
      <c r="HE37" s="149" t="str">
        <f t="shared" si="85"/>
        <v>Adecuado</v>
      </c>
      <c r="HF37" s="149" t="str">
        <f t="shared" si="85"/>
        <v>Coherente</v>
      </c>
      <c r="HG37" s="149" t="str">
        <f t="shared" si="85"/>
        <v>No aplica</v>
      </c>
      <c r="HH37" s="149" t="str">
        <f t="shared" si="85"/>
        <v>Concuerda</v>
      </c>
      <c r="HI37" s="149">
        <f t="shared" si="85"/>
        <v>0</v>
      </c>
      <c r="HJ37" s="149" t="str">
        <f t="shared" si="85"/>
        <v>Adecuado</v>
      </c>
      <c r="HK37" s="149" t="str">
        <f t="shared" si="85"/>
        <v>Oportuna</v>
      </c>
      <c r="HL37" s="149" t="str">
        <f t="shared" si="85"/>
        <v>Aun cuando el indicador tiene programación para el mes de junio se presenta avance de la gestión adelantada durante el periodo la cual está registrada a conformidad</v>
      </c>
      <c r="HM37" s="149" t="str">
        <f t="shared" si="86"/>
        <v>Marcela Andrea García Guerrero</v>
      </c>
      <c r="HN37" s="149" t="str">
        <f t="shared" si="86"/>
        <v>Cumple</v>
      </c>
      <c r="HO37" s="149" t="str">
        <f t="shared" si="86"/>
        <v>Cumplido</v>
      </c>
      <c r="HP37" s="149" t="str">
        <f t="shared" si="86"/>
        <v>Adecuado</v>
      </c>
      <c r="HQ37" s="149" t="str">
        <f t="shared" si="86"/>
        <v>Coherente</v>
      </c>
      <c r="HR37" s="149" t="str">
        <f t="shared" si="86"/>
        <v>Concuerda</v>
      </c>
      <c r="HS37" s="149" t="str">
        <f t="shared" si="86"/>
        <v>Concuerda</v>
      </c>
      <c r="HT37" s="149">
        <f t="shared" si="86"/>
        <v>0</v>
      </c>
      <c r="HU37" s="149" t="str">
        <f t="shared" si="86"/>
        <v>Adecuado</v>
      </c>
      <c r="HV37" s="149" t="str">
        <f t="shared" si="86"/>
        <v>Oportuna</v>
      </c>
      <c r="HW37" s="149" t="str">
        <f t="shared" si="86"/>
        <v>Ninguna</v>
      </c>
      <c r="HX37" s="149" t="str">
        <f t="shared" si="86"/>
        <v>Marcela Andrea García Guerrero</v>
      </c>
    </row>
    <row r="38" spans="1:241" s="149" customFormat="1" x14ac:dyDescent="0.3">
      <c r="A38" s="145" t="s">
        <v>368</v>
      </c>
      <c r="B38" s="146" t="s">
        <v>1144</v>
      </c>
      <c r="C38" s="146" t="s">
        <v>1144</v>
      </c>
      <c r="D38" s="146" t="s">
        <v>1144</v>
      </c>
      <c r="E38" s="146" t="s">
        <v>1144</v>
      </c>
      <c r="F38" s="136" t="s">
        <v>1468</v>
      </c>
      <c r="G38" s="146" t="s">
        <v>1144</v>
      </c>
      <c r="H38" s="146" t="s">
        <v>1144</v>
      </c>
      <c r="I38" s="149" t="s">
        <v>1146</v>
      </c>
      <c r="J38" s="154" t="s">
        <v>56</v>
      </c>
      <c r="K38" s="154" t="s">
        <v>57</v>
      </c>
      <c r="L38" s="154" t="s">
        <v>58</v>
      </c>
      <c r="M38" s="154" t="s">
        <v>1413</v>
      </c>
      <c r="N38" s="154" t="s">
        <v>1414</v>
      </c>
      <c r="O38" s="154" t="s">
        <v>1415</v>
      </c>
      <c r="P38" s="148" t="s">
        <v>1468</v>
      </c>
      <c r="Q38" s="219" t="s">
        <v>1469</v>
      </c>
      <c r="R38" s="219"/>
      <c r="S38" s="219" t="s">
        <v>1470</v>
      </c>
      <c r="T38" s="219" t="s">
        <v>1470</v>
      </c>
      <c r="U38" s="154" t="s">
        <v>1471</v>
      </c>
      <c r="V38" s="219" t="s">
        <v>1472</v>
      </c>
      <c r="W38" s="148" t="s">
        <v>601</v>
      </c>
      <c r="X38" s="219" t="s">
        <v>601</v>
      </c>
      <c r="Y38" s="166"/>
      <c r="Z38" s="219" t="s">
        <v>1473</v>
      </c>
      <c r="AA38" s="219" t="s">
        <v>1474</v>
      </c>
      <c r="AB38" s="219" t="s">
        <v>602</v>
      </c>
      <c r="AC38" s="219" t="s">
        <v>1475</v>
      </c>
      <c r="AD38" s="219" t="s">
        <v>1160</v>
      </c>
      <c r="AE38" s="219">
        <v>2019</v>
      </c>
      <c r="AF38" s="219">
        <v>0</v>
      </c>
      <c r="AG38" s="219">
        <v>2019</v>
      </c>
      <c r="AH38" s="219" t="s">
        <v>1161</v>
      </c>
      <c r="AI38" s="219" t="s">
        <v>1161</v>
      </c>
      <c r="AJ38" s="219" t="s">
        <v>1161</v>
      </c>
      <c r="AK38" s="219">
        <v>0.85</v>
      </c>
      <c r="AL38" s="220" t="s">
        <v>1161</v>
      </c>
      <c r="AM38" s="219" t="s">
        <v>1161</v>
      </c>
      <c r="AN38" s="146" t="s">
        <v>1144</v>
      </c>
      <c r="AO38" s="146" t="s">
        <v>1144</v>
      </c>
      <c r="AP38" s="146" t="s">
        <v>1144</v>
      </c>
      <c r="AQ38" s="146" t="s">
        <v>1144</v>
      </c>
      <c r="AR38" s="146" t="s">
        <v>1144</v>
      </c>
      <c r="AS38" s="150" t="s">
        <v>1144</v>
      </c>
      <c r="AT38" s="232" t="s">
        <v>1161</v>
      </c>
      <c r="AU38" s="232" t="s">
        <v>1161</v>
      </c>
      <c r="AV38" s="232" t="s">
        <v>1161</v>
      </c>
      <c r="AW38" s="232">
        <v>0.85</v>
      </c>
      <c r="AX38" s="211" t="s">
        <v>1161</v>
      </c>
      <c r="AY38" s="232" t="s">
        <v>1161</v>
      </c>
      <c r="BD38" s="149">
        <v>0</v>
      </c>
      <c r="BJ38" s="149">
        <v>0</v>
      </c>
      <c r="BK38" s="146" t="s">
        <v>1144</v>
      </c>
      <c r="BL38" s="146" t="s">
        <v>1144</v>
      </c>
      <c r="BM38" s="146" t="s">
        <v>1144</v>
      </c>
      <c r="BN38" s="146" t="s">
        <v>1144</v>
      </c>
      <c r="BO38" s="146" t="s">
        <v>1144</v>
      </c>
      <c r="BP38" s="146" t="s">
        <v>1144</v>
      </c>
      <c r="BQ38" s="146" t="s">
        <v>1144</v>
      </c>
      <c r="BR38" s="146" t="s">
        <v>1144</v>
      </c>
      <c r="BS38" s="146" t="s">
        <v>1144</v>
      </c>
      <c r="BT38" s="146" t="s">
        <v>1144</v>
      </c>
      <c r="BU38" s="146" t="s">
        <v>1144</v>
      </c>
      <c r="BV38" s="146" t="s">
        <v>1144</v>
      </c>
      <c r="BW38" s="219" t="s">
        <v>1144</v>
      </c>
      <c r="BX38" s="219" t="s">
        <v>1144</v>
      </c>
      <c r="BY38" s="219" t="s">
        <v>1144</v>
      </c>
      <c r="BZ38" s="219">
        <v>1</v>
      </c>
      <c r="CA38" s="219" t="s">
        <v>1144</v>
      </c>
      <c r="CB38" s="219" t="s">
        <v>1144</v>
      </c>
      <c r="CC38" s="219" t="s">
        <v>1144</v>
      </c>
      <c r="CD38" s="219">
        <v>1</v>
      </c>
      <c r="CE38" s="219" t="s">
        <v>266</v>
      </c>
      <c r="CF38" s="219" t="s">
        <v>1144</v>
      </c>
      <c r="CG38" s="219" t="s">
        <v>1144</v>
      </c>
      <c r="CH38" s="219" t="s">
        <v>1144</v>
      </c>
      <c r="CI38" s="219" t="s">
        <v>1144</v>
      </c>
      <c r="CJ38" s="219" t="s">
        <v>1144</v>
      </c>
      <c r="CK38" s="219" t="s">
        <v>1144</v>
      </c>
      <c r="CL38" s="219" t="s">
        <v>1144</v>
      </c>
      <c r="CM38" s="219" t="s">
        <v>1144</v>
      </c>
      <c r="CN38" s="219" t="s">
        <v>1144</v>
      </c>
      <c r="CO38" s="219" t="s">
        <v>1144</v>
      </c>
      <c r="CP38" s="219" t="s">
        <v>1144</v>
      </c>
      <c r="CQ38" s="219" t="s">
        <v>1144</v>
      </c>
      <c r="CR38" s="219" t="s">
        <v>1144</v>
      </c>
      <c r="CS38" s="219" t="s">
        <v>1144</v>
      </c>
      <c r="CT38" s="219" t="s">
        <v>1144</v>
      </c>
      <c r="CU38" s="219" t="s">
        <v>1144</v>
      </c>
      <c r="CV38" s="219" t="s">
        <v>1144</v>
      </c>
      <c r="CW38" s="219" t="s">
        <v>1144</v>
      </c>
      <c r="CX38" s="219" t="s">
        <v>1144</v>
      </c>
      <c r="CY38" s="219" t="s">
        <v>1144</v>
      </c>
      <c r="CZ38" s="219" t="s">
        <v>1144</v>
      </c>
      <c r="DA38" s="219" t="s">
        <v>1144</v>
      </c>
      <c r="DB38" s="152" t="str">
        <f t="shared" si="32"/>
        <v xml:space="preserve">Plan de Acción, SGC, PROCESO: Internacionalización de Bogotá, </v>
      </c>
      <c r="DC38" s="149">
        <f t="shared" ref="DC38:DG59" si="88">+VLOOKUP($A38,consolidado,MATCH(DC$5,consolidadofila,0),0)</f>
        <v>0</v>
      </c>
      <c r="DD38" s="149">
        <f t="shared" si="88"/>
        <v>0</v>
      </c>
      <c r="DE38" s="149" t="str">
        <f t="shared" si="88"/>
        <v>Tener un referente para tomar accionaes encaminadas a realizar mejoras en la prestación de servcios del proceso "Internacionalización de Bogotá"</v>
      </c>
      <c r="DF38" s="149" t="str">
        <f t="shared" si="88"/>
        <v>Reportes periódicos a la Oficina Asesora de Planeación con el análisis y resultado de la aplicación de las encuestas.
Encuentas aplicadas</v>
      </c>
      <c r="DG38" s="149" t="str">
        <f t="shared" si="88"/>
        <v>Constante</v>
      </c>
      <c r="DH38" s="149" t="str">
        <f t="shared" si="2"/>
        <v/>
      </c>
      <c r="DI38" s="149">
        <f t="shared" si="3"/>
        <v>0</v>
      </c>
      <c r="DJ38" s="149">
        <f t="shared" si="4"/>
        <v>0</v>
      </c>
      <c r="DK38" s="149">
        <f t="shared" si="5"/>
        <v>0</v>
      </c>
      <c r="DL38" s="149">
        <f t="shared" si="6"/>
        <v>0</v>
      </c>
      <c r="DM38" s="149">
        <f t="shared" si="7"/>
        <v>0</v>
      </c>
      <c r="DN38" s="149">
        <f t="shared" si="36"/>
        <v>0</v>
      </c>
      <c r="DO38" s="149" t="str">
        <f t="shared" si="87"/>
        <v>No Disponible / No Aplica</v>
      </c>
      <c r="DP38" s="149" t="str">
        <f t="shared" si="87"/>
        <v>No Disponible / No Aplica</v>
      </c>
      <c r="DQ38" s="149" t="str">
        <f t="shared" si="87"/>
        <v>No Disponible / No Aplica</v>
      </c>
      <c r="DR38" s="149" t="str">
        <f t="shared" si="87"/>
        <v>No Disponible / No Aplica</v>
      </c>
      <c r="DS38" s="149" t="str">
        <f t="shared" si="87"/>
        <v>No Disponible / No Aplica</v>
      </c>
      <c r="DT38" s="149" t="str">
        <f t="shared" si="87"/>
        <v>No Disponible / No Aplica</v>
      </c>
      <c r="DU38" s="149" t="str">
        <f t="shared" ref="DU38:ED59" si="89">+VLOOKUP($A38,consolidado,MATCH(DU$5,consolidadofila,0),0)</f>
        <v>No Disponible / No Aplica</v>
      </c>
      <c r="DV38" s="149" t="str">
        <f t="shared" si="89"/>
        <v/>
      </c>
      <c r="DW38" s="149" t="str">
        <f t="shared" si="89"/>
        <v/>
      </c>
      <c r="DX38" s="149" t="str">
        <f t="shared" si="89"/>
        <v/>
      </c>
      <c r="DY38" s="149" t="str">
        <f t="shared" si="89"/>
        <v/>
      </c>
      <c r="DZ38" s="149" t="str">
        <f t="shared" si="89"/>
        <v/>
      </c>
      <c r="EA38" s="149" t="str">
        <f t="shared" si="89"/>
        <v/>
      </c>
      <c r="EB38" s="149" t="str">
        <f t="shared" si="89"/>
        <v/>
      </c>
      <c r="EC38" s="149" t="str">
        <f t="shared" si="89"/>
        <v/>
      </c>
      <c r="ED38" s="149" t="str">
        <f t="shared" si="89"/>
        <v/>
      </c>
      <c r="EE38" s="149" t="str">
        <f t="shared" ref="EE38:EN59" si="90">+VLOOKUP($A38,consolidado,MATCH(EE$5,consolidadofila,0),0)</f>
        <v/>
      </c>
      <c r="EF38" s="149" t="str">
        <f t="shared" si="90"/>
        <v/>
      </c>
      <c r="EG38" s="149" t="str">
        <f t="shared" si="90"/>
        <v/>
      </c>
      <c r="EH38" s="149" t="str">
        <f t="shared" si="90"/>
        <v/>
      </c>
      <c r="EI38" s="149" t="str">
        <f t="shared" si="90"/>
        <v/>
      </c>
      <c r="EJ38" s="149" t="str">
        <f t="shared" si="90"/>
        <v/>
      </c>
      <c r="EK38" s="149" t="str">
        <f t="shared" si="90"/>
        <v/>
      </c>
      <c r="EL38" s="149" t="str">
        <f t="shared" si="90"/>
        <v/>
      </c>
      <c r="EM38" s="149" t="str">
        <f t="shared" si="90"/>
        <v/>
      </c>
      <c r="EN38" s="149" t="str">
        <f t="shared" si="90"/>
        <v/>
      </c>
      <c r="EO38" s="149" t="str">
        <f t="shared" ref="EO38:FC59" si="91">+VLOOKUP($A38,consolidado,MATCH(EO$5,consolidadofila,0),0)</f>
        <v/>
      </c>
      <c r="EP38" s="149" t="str">
        <f t="shared" si="91"/>
        <v/>
      </c>
      <c r="EQ38" s="149" t="str">
        <f t="shared" si="91"/>
        <v/>
      </c>
      <c r="ER38" s="149" t="str">
        <f t="shared" si="91"/>
        <v/>
      </c>
      <c r="ES38" s="149" t="str">
        <f t="shared" si="91"/>
        <v/>
      </c>
      <c r="ET38" s="149" t="str">
        <f t="shared" si="91"/>
        <v/>
      </c>
      <c r="EU38" s="149" t="str">
        <f t="shared" si="78"/>
        <v/>
      </c>
      <c r="EV38" s="149" t="str">
        <f t="shared" si="78"/>
        <v/>
      </c>
      <c r="EW38" s="149" t="str">
        <f t="shared" si="78"/>
        <v/>
      </c>
      <c r="EX38" s="149" t="str">
        <f t="shared" si="78"/>
        <v/>
      </c>
      <c r="EY38" s="149" t="str">
        <f t="shared" si="78"/>
        <v/>
      </c>
      <c r="EZ38" s="149">
        <f t="shared" si="91"/>
        <v>0</v>
      </c>
      <c r="FA38" s="149">
        <f t="shared" si="91"/>
        <v>0</v>
      </c>
      <c r="FB38" s="149" t="str">
        <f t="shared" si="91"/>
        <v/>
      </c>
      <c r="FC38" s="149" t="str">
        <f t="shared" si="91"/>
        <v/>
      </c>
      <c r="FD38" s="149" t="str">
        <f t="shared" ref="FD38:FM59" si="92">+VLOOKUP($A38,consolidado,MATCH(FD$5,consolidadofila,0),0)</f>
        <v/>
      </c>
      <c r="FE38" s="149" t="str">
        <f t="shared" si="92"/>
        <v/>
      </c>
      <c r="FF38" s="149" t="str">
        <f t="shared" si="92"/>
        <v/>
      </c>
      <c r="FG38" s="149" t="str">
        <f t="shared" si="92"/>
        <v/>
      </c>
      <c r="FH38" s="149" t="str">
        <f t="shared" si="92"/>
        <v/>
      </c>
      <c r="FI38" s="149" t="str">
        <f t="shared" si="92"/>
        <v/>
      </c>
      <c r="FJ38" s="149" t="str">
        <f t="shared" si="92"/>
        <v/>
      </c>
      <c r="FK38" s="149" t="str">
        <f t="shared" si="92"/>
        <v/>
      </c>
      <c r="FL38" s="149" t="str">
        <f t="shared" si="92"/>
        <v/>
      </c>
      <c r="FM38" s="149" t="str">
        <f t="shared" si="92"/>
        <v/>
      </c>
      <c r="FN38" s="149" t="str">
        <f t="shared" ref="FN38:FW59" si="93">+VLOOKUP($A38,consolidado,MATCH(FN$5,consolidadofila,0),0)</f>
        <v/>
      </c>
      <c r="FO38" s="149" t="str">
        <f t="shared" si="93"/>
        <v/>
      </c>
      <c r="FP38" s="149" t="str">
        <f t="shared" si="93"/>
        <v/>
      </c>
      <c r="FQ38" s="149" t="str">
        <f t="shared" si="93"/>
        <v/>
      </c>
      <c r="FR38" s="149" t="str">
        <f t="shared" si="93"/>
        <v/>
      </c>
      <c r="FS38" s="149" t="str">
        <f t="shared" si="93"/>
        <v/>
      </c>
      <c r="FT38" s="149" t="str">
        <f t="shared" si="93"/>
        <v/>
      </c>
      <c r="FU38" s="149" t="str">
        <f t="shared" si="93"/>
        <v/>
      </c>
      <c r="FV38" s="149" t="str">
        <f t="shared" si="93"/>
        <v/>
      </c>
      <c r="FW38" s="149" t="str">
        <f t="shared" si="93"/>
        <v/>
      </c>
      <c r="FX38" s="149" t="str">
        <f t="shared" ref="FX38:GE59" si="94">+VLOOKUP($A38,consolidado,MATCH(FX$5,consolidadofila,0),0)</f>
        <v/>
      </c>
      <c r="FY38" s="149" t="str">
        <f t="shared" si="94"/>
        <v/>
      </c>
      <c r="FZ38" s="149" t="str">
        <f t="shared" si="94"/>
        <v/>
      </c>
      <c r="GA38" s="149" t="str">
        <f t="shared" si="94"/>
        <v/>
      </c>
      <c r="GB38" s="149" t="str">
        <f t="shared" si="94"/>
        <v/>
      </c>
      <c r="GC38" s="149" t="str">
        <f t="shared" si="94"/>
        <v/>
      </c>
      <c r="GD38" s="149" t="str">
        <f t="shared" si="94"/>
        <v/>
      </c>
      <c r="GE38" s="149" t="str">
        <f t="shared" si="94"/>
        <v/>
      </c>
      <c r="GF38" s="149" t="str">
        <f t="shared" si="33"/>
        <v/>
      </c>
      <c r="GG38" s="149" t="str">
        <f t="shared" si="22"/>
        <v/>
      </c>
      <c r="GH38" s="149" t="str">
        <f t="shared" si="23"/>
        <v/>
      </c>
      <c r="GI38" s="149" t="str">
        <f t="shared" si="24"/>
        <v/>
      </c>
      <c r="GJ38" s="149" t="str">
        <f t="shared" si="25"/>
        <v/>
      </c>
      <c r="GK38" s="149">
        <f t="shared" si="34"/>
        <v>0</v>
      </c>
      <c r="GL38" s="149" t="e">
        <f t="shared" si="15"/>
        <v>#VALUE!</v>
      </c>
      <c r="GM38" s="149" t="e">
        <f t="shared" si="16"/>
        <v>#VALUE!</v>
      </c>
      <c r="GN38" s="149" t="e">
        <f t="shared" si="17"/>
        <v>#VALUE!</v>
      </c>
      <c r="GO38" s="149" t="e">
        <f t="shared" si="18"/>
        <v>#VALUE!</v>
      </c>
      <c r="GP38" s="149" t="e">
        <f t="shared" si="19"/>
        <v>#VALUE!</v>
      </c>
      <c r="GQ38" s="149" t="e">
        <f t="shared" si="19"/>
        <v>#VALUE!</v>
      </c>
      <c r="GR38" s="153" t="e">
        <f t="shared" si="83"/>
        <v>#VALUE!</v>
      </c>
      <c r="GS38" s="149" t="str">
        <f t="shared" si="37"/>
        <v>No Programó</v>
      </c>
      <c r="GT38" s="149" t="str">
        <f>+IF(OR($A38=52,$A38=124),1,IFERROR(IF($X38="Creciente",IF($AB38="Número",SUM($GL38:GM38)/SUM($DO38:DP38)*($AX38-$AW38),SUM($GL38:GM38)/SUM($DO38:DP38))*($AX38-$AW38),IF($DG38="Creciente",GM38*GM38/GM38,IF(AND($DG38="Constante",$AB38="Porcentaje"),AVERAGEIF($GL38:GM38,"&lt;&gt;0")/AVERAGEIF($DO38:DP38,"&lt;&gt;0")*100,SUM($GL38:GM38)/SUM($DO38:DP38)*$DU38))),GS38))</f>
        <v>No Programó</v>
      </c>
      <c r="GU38" s="149" t="str">
        <f>+IF(OR($A38=52,$A38=124),1,IFERROR(IF($X38="Creciente",IF($AB38="Número",SUM($GL38:GN38)/SUM($DO38:DQ38)*($AX38-$AW38),SUM($GL38:GN38)/SUM($DO38:DQ38))*($AX38-$AW38),IF($DG38="Creciente",GN38*GN38/GN38,IF(AND($DG38="Constante",$AB38="Porcentaje"),AVERAGEIF($GL38:GN38,"&lt;&gt;0")/AVERAGEIF($DO38:DQ38,"&lt;&gt;0")*100,SUM($GL38:GN38)/SUM($DO38:DQ38)*$DU38))),GT38))</f>
        <v>No Programó</v>
      </c>
      <c r="GV38" s="149" t="str">
        <f>+IF(OR($A38=52,$A38=124),1,IFERROR(IF($X38="Creciente",IF($AB38="Número",SUM($GL38:GO38)/SUM($DO38:DR38)*($AX38-$AW38),SUM($GL38:GO38)/SUM($DO38:DR38))*($AX38-$AW38),IF($DG38="Creciente",GO38*GO38/GO38,IF(AND($DG38="Constante",$AB38="Porcentaje"),AVERAGEIF($GL38:GO38,"&lt;&gt;0")/AVERAGEIF($DO38:DR38,"&lt;&gt;0")*100,SUM($GL38:GO38)/SUM($DO38:DR38)*$DU38))),GU38))</f>
        <v>No Programó</v>
      </c>
      <c r="GW38" s="149" t="str">
        <f>+IF(OR($A38=52,$A38=124),1,IFERROR(IF($X38="Creciente",IF($AB38="Número",SUM($GL38:GP38)/SUM($DO38:DS38)*($AX38-$AW38),SUM($GL38:GP38)/SUM($DO38:DS38))*($AX38-$AW38),IF($DG38="Creciente",GP38*GP38/GP38,IF(AND($DG38="Constante",$AB38="Porcentaje"),AVERAGEIF($GL38:GP38,"&lt;&gt;0")/AVERAGEIF($DO38:DS38,"&lt;&gt;0")*100,SUM($GL38:GP38)/SUM($DO38:DS38)*$DU38))),GV38))</f>
        <v>No Programó</v>
      </c>
      <c r="GX38" s="149" t="str">
        <f>+IF(OR($A38=52,$A38=124),1,IFERROR(IF($X38="Creciente",IF($AB38="Número",SUM($GL38:GQ38)/SUM($DO38:DT38)*($AX38-$AW38),SUM($GL38:GQ38)/SUM($DO38:DT38))*($AX38-$AW38),IF($DG38="Creciente",GQ38*GQ38/GQ38,IF(AND($DG38="Constante",$AB38="Porcentaje"),AVERAGEIF($GL38:GQ38,"&lt;&gt;0")/AVERAGEIF($DO38:DT38,"&lt;&gt;0")*100,SUM($GL38:GQ38)/SUM($DO38:DT38)*$DU38))),GW38))</f>
        <v>No Programó</v>
      </c>
      <c r="GY38" s="149">
        <f t="shared" si="28"/>
        <v>0</v>
      </c>
      <c r="GZ38" s="149">
        <f t="shared" si="29"/>
        <v>0</v>
      </c>
      <c r="HA38" s="149" t="str">
        <f t="shared" si="30"/>
        <v>Tener un referente para tomar accionaes encaminadas a realizar mejoras en la prestación de servcios del proceso "Internacionalización de Bogotá"</v>
      </c>
      <c r="HB38" s="149" t="str">
        <f t="shared" si="31"/>
        <v>Reportes periódicos a la Oficina Asesora de Planeación con el análisis y resultado de la aplicación de las encuestas.
Encuentas aplicadas</v>
      </c>
      <c r="HC38" s="149">
        <f t="shared" si="85"/>
        <v>0</v>
      </c>
      <c r="HD38" s="149">
        <f t="shared" si="85"/>
        <v>0</v>
      </c>
      <c r="HE38" s="149">
        <f t="shared" si="85"/>
        <v>0</v>
      </c>
      <c r="HF38" s="149" t="str">
        <f t="shared" si="85"/>
        <v>Coherente</v>
      </c>
      <c r="HG38" s="149" t="str">
        <f t="shared" si="85"/>
        <v>No aplica</v>
      </c>
      <c r="HH38" s="149">
        <f t="shared" si="85"/>
        <v>0</v>
      </c>
      <c r="HI38" s="149">
        <f t="shared" si="85"/>
        <v>0</v>
      </c>
      <c r="HJ38" s="149" t="str">
        <f t="shared" si="85"/>
        <v>Adecuado</v>
      </c>
      <c r="HK38" s="149" t="str">
        <f t="shared" si="85"/>
        <v>Oportuna</v>
      </c>
      <c r="HL38" s="149" t="str">
        <f t="shared" si="85"/>
        <v>Aun cuando el indicador tiene programación para el mes de junio se presenta avance de la gestión adelantada durante el periodo la cual está registrada a conformidad</v>
      </c>
      <c r="HM38" s="149" t="str">
        <f t="shared" si="86"/>
        <v>Marcela Andrea García Guerrero</v>
      </c>
      <c r="HN38" s="149">
        <f t="shared" si="86"/>
        <v>0</v>
      </c>
      <c r="HO38" s="149">
        <f t="shared" si="86"/>
        <v>0</v>
      </c>
      <c r="HP38" s="149">
        <f t="shared" si="86"/>
        <v>0</v>
      </c>
      <c r="HQ38" s="149">
        <f t="shared" si="86"/>
        <v>0</v>
      </c>
      <c r="HR38" s="149">
        <f t="shared" si="86"/>
        <v>0</v>
      </c>
      <c r="HS38" s="149">
        <f t="shared" si="86"/>
        <v>0</v>
      </c>
      <c r="HT38" s="149">
        <f t="shared" si="86"/>
        <v>0</v>
      </c>
      <c r="HU38" s="149">
        <f t="shared" si="86"/>
        <v>0</v>
      </c>
      <c r="HV38" s="149">
        <f t="shared" si="86"/>
        <v>0</v>
      </c>
      <c r="HW38" s="149">
        <f t="shared" si="86"/>
        <v>0</v>
      </c>
      <c r="HX38" s="149" t="str">
        <f t="shared" si="86"/>
        <v>Marcela Andrea García Guerrero</v>
      </c>
    </row>
    <row r="39" spans="1:241" s="149" customFormat="1" x14ac:dyDescent="0.3">
      <c r="A39" s="145" t="s">
        <v>369</v>
      </c>
      <c r="B39" s="146" t="s">
        <v>1144</v>
      </c>
      <c r="C39" s="146" t="s">
        <v>1144</v>
      </c>
      <c r="D39" s="146" t="s">
        <v>1144</v>
      </c>
      <c r="E39" s="146" t="s">
        <v>1144</v>
      </c>
      <c r="F39" s="136" t="s">
        <v>1476</v>
      </c>
      <c r="G39" s="146" t="s">
        <v>1144</v>
      </c>
      <c r="H39" s="146" t="s">
        <v>1144</v>
      </c>
      <c r="I39" s="149" t="s">
        <v>1146</v>
      </c>
      <c r="J39" s="154" t="s">
        <v>111</v>
      </c>
      <c r="K39" s="154" t="s">
        <v>1477</v>
      </c>
      <c r="L39" s="154" t="s">
        <v>113</v>
      </c>
      <c r="M39" s="154" t="s">
        <v>1478</v>
      </c>
      <c r="N39" s="154" t="s">
        <v>1479</v>
      </c>
      <c r="O39" s="154" t="s">
        <v>1480</v>
      </c>
      <c r="P39" s="148" t="s">
        <v>1476</v>
      </c>
      <c r="Q39" s="219" t="s">
        <v>1481</v>
      </c>
      <c r="R39" s="219" t="s">
        <v>1482</v>
      </c>
      <c r="S39" s="219" t="s">
        <v>1483</v>
      </c>
      <c r="T39" s="219" t="s">
        <v>1484</v>
      </c>
      <c r="U39" s="219" t="s">
        <v>1485</v>
      </c>
      <c r="V39" s="219" t="s">
        <v>1486</v>
      </c>
      <c r="W39" s="148" t="s">
        <v>638</v>
      </c>
      <c r="X39" s="219" t="s">
        <v>638</v>
      </c>
      <c r="Y39" s="219" t="s">
        <v>1487</v>
      </c>
      <c r="Z39" s="219" t="s">
        <v>1488</v>
      </c>
      <c r="AA39" s="219" t="s">
        <v>1489</v>
      </c>
      <c r="AB39" s="219" t="s">
        <v>602</v>
      </c>
      <c r="AC39" s="219" t="s">
        <v>1475</v>
      </c>
      <c r="AD39" s="219" t="s">
        <v>1160</v>
      </c>
      <c r="AE39" s="219">
        <v>2018</v>
      </c>
      <c r="AF39" s="219">
        <v>0</v>
      </c>
      <c r="AG39" s="219">
        <v>2018</v>
      </c>
      <c r="AH39" s="219">
        <v>0</v>
      </c>
      <c r="AI39" s="219">
        <v>0</v>
      </c>
      <c r="AJ39" s="219">
        <v>0.86599999999999999</v>
      </c>
      <c r="AK39" s="219">
        <v>0.15</v>
      </c>
      <c r="AL39" s="219">
        <v>0</v>
      </c>
      <c r="AM39" s="219">
        <v>0</v>
      </c>
      <c r="AN39" s="146" t="s">
        <v>1144</v>
      </c>
      <c r="AO39" s="146" t="s">
        <v>1144</v>
      </c>
      <c r="AP39" s="146" t="s">
        <v>1144</v>
      </c>
      <c r="AQ39" s="146" t="s">
        <v>1144</v>
      </c>
      <c r="AR39" s="146" t="s">
        <v>1144</v>
      </c>
      <c r="AS39" s="150" t="s">
        <v>1144</v>
      </c>
      <c r="AT39" s="232">
        <v>0</v>
      </c>
      <c r="AU39" s="232">
        <v>0</v>
      </c>
      <c r="AV39" s="232">
        <v>86.6</v>
      </c>
      <c r="AW39" s="232">
        <v>15</v>
      </c>
      <c r="AX39" s="211">
        <v>0</v>
      </c>
      <c r="AY39" s="232">
        <v>0</v>
      </c>
      <c r="BD39" s="149">
        <v>0</v>
      </c>
      <c r="BJ39" s="149">
        <v>0</v>
      </c>
      <c r="BK39" s="146" t="s">
        <v>1144</v>
      </c>
      <c r="BL39" s="146" t="s">
        <v>1144</v>
      </c>
      <c r="BM39" s="146" t="s">
        <v>1144</v>
      </c>
      <c r="BN39" s="146" t="s">
        <v>1144</v>
      </c>
      <c r="BO39" s="146" t="s">
        <v>1144</v>
      </c>
      <c r="BP39" s="146" t="s">
        <v>1144</v>
      </c>
      <c r="BQ39" s="146" t="s">
        <v>1144</v>
      </c>
      <c r="BR39" s="146" t="s">
        <v>1144</v>
      </c>
      <c r="BS39" s="146" t="s">
        <v>1144</v>
      </c>
      <c r="BT39" s="146" t="s">
        <v>1144</v>
      </c>
      <c r="BU39" s="146" t="s">
        <v>1144</v>
      </c>
      <c r="BV39" s="146" t="s">
        <v>1144</v>
      </c>
      <c r="BW39" s="219" t="s">
        <v>1144</v>
      </c>
      <c r="BX39" s="219" t="s">
        <v>1144</v>
      </c>
      <c r="BY39" s="219" t="s">
        <v>1144</v>
      </c>
      <c r="BZ39" s="219">
        <v>1</v>
      </c>
      <c r="CA39" s="219" t="s">
        <v>1144</v>
      </c>
      <c r="CB39" s="219" t="s">
        <v>1144</v>
      </c>
      <c r="CC39" s="219" t="s">
        <v>1144</v>
      </c>
      <c r="CD39" s="219" t="s">
        <v>1144</v>
      </c>
      <c r="CE39" s="219" t="s">
        <v>1144</v>
      </c>
      <c r="CF39" s="219" t="s">
        <v>1144</v>
      </c>
      <c r="CG39" s="219" t="s">
        <v>1144</v>
      </c>
      <c r="CH39" s="219" t="s">
        <v>1144</v>
      </c>
      <c r="CI39" s="219" t="s">
        <v>1144</v>
      </c>
      <c r="CJ39" s="219" t="s">
        <v>1144</v>
      </c>
      <c r="CK39" s="219" t="s">
        <v>1144</v>
      </c>
      <c r="CL39" s="219" t="s">
        <v>1144</v>
      </c>
      <c r="CM39" s="219" t="s">
        <v>1144</v>
      </c>
      <c r="CN39" s="219" t="s">
        <v>1144</v>
      </c>
      <c r="CO39" s="219" t="s">
        <v>1144</v>
      </c>
      <c r="CP39" s="219" t="s">
        <v>1144</v>
      </c>
      <c r="CQ39" s="219" t="s">
        <v>1144</v>
      </c>
      <c r="CR39" s="219" t="s">
        <v>1144</v>
      </c>
      <c r="CS39" s="219" t="s">
        <v>1144</v>
      </c>
      <c r="CT39" s="219" t="s">
        <v>1144</v>
      </c>
      <c r="CU39" s="219" t="s">
        <v>1144</v>
      </c>
      <c r="CV39" s="219" t="s">
        <v>1144</v>
      </c>
      <c r="CW39" s="219" t="s">
        <v>1144</v>
      </c>
      <c r="CX39" s="219" t="s">
        <v>1144</v>
      </c>
      <c r="CY39" s="219" t="s">
        <v>1144</v>
      </c>
      <c r="CZ39" s="219" t="s">
        <v>1144</v>
      </c>
      <c r="DA39" s="219" t="s">
        <v>1144</v>
      </c>
      <c r="DB39" s="152" t="str">
        <f t="shared" si="32"/>
        <v xml:space="preserve">Plan de Acción, </v>
      </c>
      <c r="DC39" s="149" t="str">
        <f t="shared" si="88"/>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
      <c r="DD39" s="149" t="str">
        <f t="shared" si="88"/>
        <v>1. Adquirir y poner en funcionamiento 2 maquinas para la imprenta distrital
2. Modernizar la solución tecnológica para el proceso de registro distrital
3. Desarrollar las obras de reforzamiento estructural y adecuación de la imprenta distrital</v>
      </c>
      <c r="DE39" s="149" t="str">
        <f t="shared" si="88"/>
        <v xml:space="preserve">Modernizar la Imprenta Distrital para mejorar y ampliar los servicios que presta.
Mejorar la experiencia de la ciudadanía con enfoque diferencial y preferencial, en su relación con la administración distrital. </v>
      </c>
      <c r="DF39" s="149" t="str">
        <f t="shared" si="88"/>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
      <c r="DG39" s="149" t="str">
        <f t="shared" si="88"/>
        <v>Suma</v>
      </c>
      <c r="DH39" s="149">
        <f t="shared" si="2"/>
        <v>0</v>
      </c>
      <c r="DI39" s="149">
        <f t="shared" si="3"/>
        <v>0</v>
      </c>
      <c r="DJ39" s="149">
        <f t="shared" si="4"/>
        <v>0</v>
      </c>
      <c r="DK39" s="149">
        <f t="shared" si="5"/>
        <v>0</v>
      </c>
      <c r="DL39" s="149">
        <f t="shared" si="6"/>
        <v>0</v>
      </c>
      <c r="DM39" s="149">
        <f t="shared" si="7"/>
        <v>0</v>
      </c>
      <c r="DN39" s="149">
        <f t="shared" si="36"/>
        <v>0</v>
      </c>
      <c r="DO39" s="149" t="e">
        <f t="shared" si="87"/>
        <v>#DIV/0!</v>
      </c>
      <c r="DP39" s="149" t="e">
        <f t="shared" si="87"/>
        <v>#DIV/0!</v>
      </c>
      <c r="DQ39" s="149" t="e">
        <f t="shared" si="87"/>
        <v>#DIV/0!</v>
      </c>
      <c r="DR39" s="149" t="e">
        <f t="shared" si="87"/>
        <v>#DIV/0!</v>
      </c>
      <c r="DS39" s="149" t="e">
        <f t="shared" si="87"/>
        <v>#DIV/0!</v>
      </c>
      <c r="DT39" s="149" t="e">
        <f t="shared" si="87"/>
        <v>#DIV/0!</v>
      </c>
      <c r="DU39" s="149">
        <f t="shared" si="89"/>
        <v>0</v>
      </c>
      <c r="DV39" s="149" t="str">
        <f t="shared" si="89"/>
        <v/>
      </c>
      <c r="DW39" s="149" t="str">
        <f t="shared" si="89"/>
        <v/>
      </c>
      <c r="DX39" s="149" t="str">
        <f t="shared" si="89"/>
        <v/>
      </c>
      <c r="DY39" s="149" t="str">
        <f t="shared" si="89"/>
        <v/>
      </c>
      <c r="DZ39" s="149" t="str">
        <f t="shared" si="89"/>
        <v/>
      </c>
      <c r="EA39" s="149" t="str">
        <f t="shared" si="89"/>
        <v/>
      </c>
      <c r="EB39" s="149" t="str">
        <f t="shared" si="89"/>
        <v/>
      </c>
      <c r="EC39" s="149" t="str">
        <f t="shared" si="89"/>
        <v/>
      </c>
      <c r="ED39" s="149" t="str">
        <f t="shared" si="89"/>
        <v/>
      </c>
      <c r="EE39" s="149" t="str">
        <f t="shared" si="90"/>
        <v/>
      </c>
      <c r="EF39" s="149" t="str">
        <f t="shared" si="90"/>
        <v/>
      </c>
      <c r="EG39" s="149" t="str">
        <f t="shared" si="90"/>
        <v/>
      </c>
      <c r="EH39" s="149" t="str">
        <f t="shared" si="90"/>
        <v/>
      </c>
      <c r="EI39" s="149" t="str">
        <f t="shared" si="90"/>
        <v/>
      </c>
      <c r="EJ39" s="149" t="str">
        <f t="shared" si="90"/>
        <v/>
      </c>
      <c r="EK39" s="149" t="str">
        <f t="shared" si="90"/>
        <v/>
      </c>
      <c r="EL39" s="149" t="str">
        <f t="shared" si="90"/>
        <v/>
      </c>
      <c r="EM39" s="149" t="str">
        <f t="shared" si="90"/>
        <v/>
      </c>
      <c r="EN39" s="149" t="str">
        <f t="shared" si="90"/>
        <v/>
      </c>
      <c r="EO39" s="149" t="str">
        <f t="shared" si="91"/>
        <v/>
      </c>
      <c r="EP39" s="149" t="str">
        <f t="shared" si="91"/>
        <v/>
      </c>
      <c r="EQ39" s="149" t="str">
        <f t="shared" si="91"/>
        <v/>
      </c>
      <c r="ER39" s="149" t="str">
        <f t="shared" si="91"/>
        <v/>
      </c>
      <c r="ES39" s="149" t="str">
        <f t="shared" si="91"/>
        <v/>
      </c>
      <c r="ET39" s="149" t="str">
        <f t="shared" si="91"/>
        <v/>
      </c>
      <c r="EU39" s="149" t="str">
        <f t="shared" si="78"/>
        <v/>
      </c>
      <c r="EV39" s="149" t="str">
        <f t="shared" si="78"/>
        <v/>
      </c>
      <c r="EW39" s="149" t="str">
        <f t="shared" si="78"/>
        <v/>
      </c>
      <c r="EX39" s="149" t="str">
        <f t="shared" si="78"/>
        <v/>
      </c>
      <c r="EY39" s="149" t="str">
        <f t="shared" si="78"/>
        <v/>
      </c>
      <c r="EZ39" s="149">
        <f t="shared" si="91"/>
        <v>0</v>
      </c>
      <c r="FA39" s="149">
        <f t="shared" si="91"/>
        <v>0</v>
      </c>
      <c r="FB39" s="149" t="str">
        <f t="shared" si="91"/>
        <v/>
      </c>
      <c r="FC39" s="149" t="str">
        <f t="shared" si="91"/>
        <v/>
      </c>
      <c r="FD39" s="149" t="str">
        <f t="shared" si="92"/>
        <v/>
      </c>
      <c r="FE39" s="149" t="str">
        <f t="shared" si="92"/>
        <v/>
      </c>
      <c r="FF39" s="149" t="str">
        <f t="shared" si="92"/>
        <v/>
      </c>
      <c r="FG39" s="149" t="str">
        <f t="shared" si="92"/>
        <v/>
      </c>
      <c r="FH39" s="149" t="str">
        <f t="shared" si="92"/>
        <v/>
      </c>
      <c r="FI39" s="149" t="str">
        <f t="shared" si="92"/>
        <v/>
      </c>
      <c r="FJ39" s="149" t="str">
        <f t="shared" si="92"/>
        <v/>
      </c>
      <c r="FK39" s="149" t="str">
        <f t="shared" si="92"/>
        <v/>
      </c>
      <c r="FL39" s="149" t="str">
        <f t="shared" si="92"/>
        <v/>
      </c>
      <c r="FM39" s="149" t="str">
        <f t="shared" si="92"/>
        <v/>
      </c>
      <c r="FN39" s="149" t="str">
        <f t="shared" si="93"/>
        <v/>
      </c>
      <c r="FO39" s="149" t="str">
        <f t="shared" si="93"/>
        <v/>
      </c>
      <c r="FP39" s="149" t="str">
        <f t="shared" si="93"/>
        <v/>
      </c>
      <c r="FQ39" s="149" t="str">
        <f t="shared" si="93"/>
        <v/>
      </c>
      <c r="FR39" s="149" t="str">
        <f t="shared" si="93"/>
        <v/>
      </c>
      <c r="FS39" s="149" t="str">
        <f t="shared" si="93"/>
        <v/>
      </c>
      <c r="FT39" s="149" t="str">
        <f t="shared" si="93"/>
        <v/>
      </c>
      <c r="FU39" s="149" t="str">
        <f t="shared" si="93"/>
        <v/>
      </c>
      <c r="FV39" s="149" t="str">
        <f t="shared" si="93"/>
        <v/>
      </c>
      <c r="FW39" s="149" t="str">
        <f t="shared" si="93"/>
        <v/>
      </c>
      <c r="FX39" s="149" t="str">
        <f t="shared" si="94"/>
        <v/>
      </c>
      <c r="FY39" s="149" t="str">
        <f t="shared" si="94"/>
        <v/>
      </c>
      <c r="FZ39" s="149" t="str">
        <f t="shared" si="94"/>
        <v/>
      </c>
      <c r="GA39" s="149" t="str">
        <f t="shared" si="94"/>
        <v/>
      </c>
      <c r="GB39" s="149" t="str">
        <f t="shared" si="94"/>
        <v/>
      </c>
      <c r="GC39" s="149" t="str">
        <f t="shared" si="94"/>
        <v/>
      </c>
      <c r="GD39" s="149" t="str">
        <f t="shared" si="94"/>
        <v/>
      </c>
      <c r="GE39" s="149" t="str">
        <f t="shared" si="94"/>
        <v/>
      </c>
      <c r="GF39" s="149" t="str">
        <f t="shared" si="33"/>
        <v/>
      </c>
      <c r="GG39" s="149" t="str">
        <f t="shared" si="22"/>
        <v/>
      </c>
      <c r="GH39" s="149" t="str">
        <f t="shared" si="23"/>
        <v/>
      </c>
      <c r="GI39" s="149" t="str">
        <f t="shared" si="24"/>
        <v/>
      </c>
      <c r="GJ39" s="149" t="str">
        <f t="shared" si="25"/>
        <v/>
      </c>
      <c r="GK39" s="149">
        <f t="shared" si="34"/>
        <v>0</v>
      </c>
      <c r="GL39" s="149" t="e">
        <f t="shared" si="15"/>
        <v>#DIV/0!</v>
      </c>
      <c r="GM39" s="149" t="e">
        <f t="shared" si="16"/>
        <v>#DIV/0!</v>
      </c>
      <c r="GN39" s="149" t="e">
        <f t="shared" si="17"/>
        <v>#DIV/0!</v>
      </c>
      <c r="GO39" s="149" t="e">
        <f t="shared" si="18"/>
        <v>#DIV/0!</v>
      </c>
      <c r="GP39" s="149" t="e">
        <f t="shared" si="19"/>
        <v>#DIV/0!</v>
      </c>
      <c r="GQ39" s="149" t="e">
        <f t="shared" si="19"/>
        <v>#DIV/0!</v>
      </c>
      <c r="GR39" s="153" t="e">
        <f t="shared" si="83"/>
        <v>#DIV/0!</v>
      </c>
      <c r="GS39" s="149" t="str">
        <f t="shared" si="37"/>
        <v>No Programó</v>
      </c>
      <c r="GT39" s="149" t="str">
        <f>+IF(OR($A39=52,$A39=124),1,IFERROR(IF($X39="Creciente",IF($AB39="Número",SUM($GL39:GM39)/SUM($DO39:DP39)*($AX39-$AW39),SUM($GL39:GM39)/SUM($DO39:DP39))*($AX39-$AW39),IF($DG39="Creciente",GM39*GM39/GM39,IF(AND($DG39="Constante",$AB39="Porcentaje"),AVERAGEIF($GL39:GM39,"&lt;&gt;0")/AVERAGEIF($DO39:DP39,"&lt;&gt;0")*100,SUM($GL39:GM39)/SUM($DO39:DP39)*$DU39))),GS39))</f>
        <v>No Programó</v>
      </c>
      <c r="GU39" s="149" t="str">
        <f>+IF(OR($A39=52,$A39=124),1,IFERROR(IF($X39="Creciente",IF($AB39="Número",SUM($GL39:GN39)/SUM($DO39:DQ39)*($AX39-$AW39),SUM($GL39:GN39)/SUM($DO39:DQ39))*($AX39-$AW39),IF($DG39="Creciente",GN39*GN39/GN39,IF(AND($DG39="Constante",$AB39="Porcentaje"),AVERAGEIF($GL39:GN39,"&lt;&gt;0")/AVERAGEIF($DO39:DQ39,"&lt;&gt;0")*100,SUM($GL39:GN39)/SUM($DO39:DQ39)*$DU39))),GT39))</f>
        <v>No Programó</v>
      </c>
      <c r="GV39" s="149" t="str">
        <f>+IF(OR($A39=52,$A39=124),1,IFERROR(IF($X39="Creciente",IF($AB39="Número",SUM($GL39:GO39)/SUM($DO39:DR39)*($AX39-$AW39),SUM($GL39:GO39)/SUM($DO39:DR39))*($AX39-$AW39),IF($DG39="Creciente",GO39*GO39/GO39,IF(AND($DG39="Constante",$AB39="Porcentaje"),AVERAGEIF($GL39:GO39,"&lt;&gt;0")/AVERAGEIF($DO39:DR39,"&lt;&gt;0")*100,SUM($GL39:GO39)/SUM($DO39:DR39)*$DU39))),GU39))</f>
        <v>No Programó</v>
      </c>
      <c r="GW39" s="149" t="str">
        <f>+IF(OR($A39=52,$A39=124),1,IFERROR(IF($X39="Creciente",IF($AB39="Número",SUM($GL39:GP39)/SUM($DO39:DS39)*($AX39-$AW39),SUM($GL39:GP39)/SUM($DO39:DS39))*($AX39-$AW39),IF($DG39="Creciente",GP39*GP39/GP39,IF(AND($DG39="Constante",$AB39="Porcentaje"),AVERAGEIF($GL39:GP39,"&lt;&gt;0")/AVERAGEIF($DO39:DS39,"&lt;&gt;0")*100,SUM($GL39:GP39)/SUM($DO39:DS39)*$DU39))),GV39))</f>
        <v>No Programó</v>
      </c>
      <c r="GX39" s="149" t="str">
        <f>+IF(OR($A39=52,$A39=124),1,IFERROR(IF($X39="Creciente",IF($AB39="Número",SUM($GL39:GQ39)/SUM($DO39:DT39)*($AX39-$AW39),SUM($GL39:GQ39)/SUM($DO39:DT39))*($AX39-$AW39),IF($DG39="Creciente",GQ39*GQ39/GQ39,IF(AND($DG39="Constante",$AB39="Porcentaje"),AVERAGEIF($GL39:GQ39,"&lt;&gt;0")/AVERAGEIF($DO39:DT39,"&lt;&gt;0")*100,SUM($GL39:GQ39)/SUM($DO39:DT39)*$DU39))),GW39))</f>
        <v>No Programó</v>
      </c>
      <c r="GY39" s="149" t="str">
        <f t="shared" si="28"/>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
      <c r="GZ39" s="149" t="str">
        <f t="shared" si="29"/>
        <v>1. Adquirir y poner en funcionamiento 2 maquinas para la imprenta distrital
2. Modernizar la solución tecnológica para el proceso de registro distrital
3. Desarrollar las obras de reforzamiento estructural y adecuación de la imprenta distrital</v>
      </c>
      <c r="HA39" s="149" t="str">
        <f t="shared" si="30"/>
        <v xml:space="preserve">Modernizar la Imprenta Distrital para mejorar y ampliar los servicios que presta.
Mejorar la experiencia de la ciudadanía con enfoque diferencial y preferencial, en su relación con la administración distrital. </v>
      </c>
      <c r="HB39" s="149" t="str">
        <f t="shared" si="31"/>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
      <c r="HC39" s="149">
        <f t="shared" si="85"/>
        <v>0</v>
      </c>
      <c r="HD39" s="149">
        <f t="shared" si="85"/>
        <v>0</v>
      </c>
      <c r="HE39" s="149">
        <f t="shared" si="85"/>
        <v>0</v>
      </c>
      <c r="HF39" s="149">
        <f t="shared" si="85"/>
        <v>0</v>
      </c>
      <c r="HG39" s="149">
        <f t="shared" si="85"/>
        <v>0</v>
      </c>
      <c r="HH39" s="149">
        <f t="shared" si="85"/>
        <v>0</v>
      </c>
      <c r="HI39" s="149">
        <f t="shared" si="85"/>
        <v>0</v>
      </c>
      <c r="HJ39" s="149">
        <f t="shared" si="85"/>
        <v>0</v>
      </c>
      <c r="HK39" s="149">
        <f t="shared" si="85"/>
        <v>0</v>
      </c>
      <c r="HL39" s="149">
        <f t="shared" si="85"/>
        <v>0</v>
      </c>
      <c r="HM39" s="149">
        <f t="shared" si="86"/>
        <v>0</v>
      </c>
      <c r="HN39" s="149">
        <f t="shared" si="86"/>
        <v>0</v>
      </c>
      <c r="HO39" s="149">
        <f t="shared" si="86"/>
        <v>0</v>
      </c>
      <c r="HP39" s="149">
        <f t="shared" si="86"/>
        <v>0</v>
      </c>
      <c r="HQ39" s="149">
        <f t="shared" si="86"/>
        <v>0</v>
      </c>
      <c r="HR39" s="149">
        <f t="shared" si="86"/>
        <v>0</v>
      </c>
      <c r="HS39" s="149">
        <f t="shared" si="86"/>
        <v>0</v>
      </c>
      <c r="HT39" s="149">
        <f t="shared" si="86"/>
        <v>0</v>
      </c>
      <c r="HU39" s="149">
        <f t="shared" si="86"/>
        <v>0</v>
      </c>
      <c r="HV39" s="149">
        <f t="shared" si="86"/>
        <v>0</v>
      </c>
      <c r="HW39" s="149">
        <f t="shared" si="86"/>
        <v>0</v>
      </c>
      <c r="HX39" s="149">
        <f t="shared" si="86"/>
        <v>0</v>
      </c>
    </row>
    <row r="40" spans="1:241" s="149" customFormat="1" x14ac:dyDescent="0.3">
      <c r="A40" s="145">
        <v>49</v>
      </c>
      <c r="B40" s="146" t="s">
        <v>1144</v>
      </c>
      <c r="C40" s="146" t="s">
        <v>1144</v>
      </c>
      <c r="D40" s="146" t="s">
        <v>1144</v>
      </c>
      <c r="E40" s="146" t="s">
        <v>1144</v>
      </c>
      <c r="F40" s="136" t="s">
        <v>1490</v>
      </c>
      <c r="G40" s="146" t="s">
        <v>1144</v>
      </c>
      <c r="H40" s="146" t="s">
        <v>1144</v>
      </c>
      <c r="I40" s="149" t="s">
        <v>1146</v>
      </c>
      <c r="J40" s="154" t="s">
        <v>171</v>
      </c>
      <c r="K40" s="154" t="s">
        <v>172</v>
      </c>
      <c r="L40" s="154" t="s">
        <v>173</v>
      </c>
      <c r="M40" s="154" t="s">
        <v>1147</v>
      </c>
      <c r="N40" s="154" t="s">
        <v>1448</v>
      </c>
      <c r="O40" s="154" t="s">
        <v>1491</v>
      </c>
      <c r="P40" s="148" t="s">
        <v>1490</v>
      </c>
      <c r="Q40" s="154" t="s">
        <v>1492</v>
      </c>
      <c r="R40" s="154" t="s">
        <v>1493</v>
      </c>
      <c r="S40" s="154" t="s">
        <v>1494</v>
      </c>
      <c r="T40" s="154" t="s">
        <v>1495</v>
      </c>
      <c r="U40" s="154">
        <v>0</v>
      </c>
      <c r="V40" s="154" t="s">
        <v>1492</v>
      </c>
      <c r="W40" s="148" t="s">
        <v>638</v>
      </c>
      <c r="X40" s="154" t="s">
        <v>638</v>
      </c>
      <c r="Y40" s="154" t="s">
        <v>1496</v>
      </c>
      <c r="Z40" s="154" t="s">
        <v>1497</v>
      </c>
      <c r="AA40" s="154" t="s">
        <v>1498</v>
      </c>
      <c r="AB40" s="154" t="s">
        <v>639</v>
      </c>
      <c r="AC40" s="154" t="s">
        <v>1293</v>
      </c>
      <c r="AD40" s="154" t="s">
        <v>1031</v>
      </c>
      <c r="AE40" s="154">
        <v>2016</v>
      </c>
      <c r="AF40" s="154">
        <v>0</v>
      </c>
      <c r="AG40" s="154">
        <v>2016</v>
      </c>
      <c r="AH40" s="154">
        <v>0</v>
      </c>
      <c r="AI40" s="154">
        <v>6</v>
      </c>
      <c r="AJ40" s="154">
        <v>5</v>
      </c>
      <c r="AK40" s="154">
        <v>1</v>
      </c>
      <c r="AL40" s="234">
        <v>1</v>
      </c>
      <c r="AM40" s="154">
        <v>0</v>
      </c>
      <c r="AN40" s="146" t="s">
        <v>1144</v>
      </c>
      <c r="AO40" s="146" t="s">
        <v>1144</v>
      </c>
      <c r="AP40" s="146" t="s">
        <v>1144</v>
      </c>
      <c r="AQ40" s="146" t="s">
        <v>1144</v>
      </c>
      <c r="AR40" s="146" t="s">
        <v>1144</v>
      </c>
      <c r="AS40" s="150" t="s">
        <v>1144</v>
      </c>
      <c r="AT40" s="156">
        <v>0</v>
      </c>
      <c r="AU40" s="156">
        <v>6</v>
      </c>
      <c r="AV40" s="156">
        <v>5</v>
      </c>
      <c r="AW40" s="156">
        <v>1</v>
      </c>
      <c r="AX40" s="211">
        <v>2</v>
      </c>
      <c r="AY40" s="156">
        <v>0</v>
      </c>
      <c r="BD40" s="149">
        <v>0</v>
      </c>
      <c r="BJ40" s="149">
        <v>0</v>
      </c>
      <c r="BK40" s="146" t="s">
        <v>1144</v>
      </c>
      <c r="BL40" s="146" t="s">
        <v>1144</v>
      </c>
      <c r="BM40" s="146" t="s">
        <v>1144</v>
      </c>
      <c r="BN40" s="146" t="s">
        <v>1144</v>
      </c>
      <c r="BO40" s="146" t="s">
        <v>1144</v>
      </c>
      <c r="BP40" s="146" t="s">
        <v>1144</v>
      </c>
      <c r="BQ40" s="146" t="s">
        <v>1144</v>
      </c>
      <c r="BR40" s="146" t="s">
        <v>1144</v>
      </c>
      <c r="BS40" s="146" t="s">
        <v>1144</v>
      </c>
      <c r="BT40" s="146" t="s">
        <v>1144</v>
      </c>
      <c r="BU40" s="146" t="s">
        <v>1144</v>
      </c>
      <c r="BV40" s="146" t="s">
        <v>1144</v>
      </c>
      <c r="BW40" s="219" t="s">
        <v>1144</v>
      </c>
      <c r="BX40" s="219" t="s">
        <v>1144</v>
      </c>
      <c r="BY40" s="219">
        <v>1</v>
      </c>
      <c r="BZ40" s="219">
        <v>1</v>
      </c>
      <c r="CA40" s="219" t="s">
        <v>1144</v>
      </c>
      <c r="CB40" s="219" t="s">
        <v>1144</v>
      </c>
      <c r="CC40" s="219" t="s">
        <v>1144</v>
      </c>
      <c r="CD40" s="219">
        <v>1</v>
      </c>
      <c r="CE40" s="219" t="s">
        <v>266</v>
      </c>
      <c r="CF40" s="219" t="s">
        <v>1144</v>
      </c>
      <c r="CG40" s="219" t="s">
        <v>1144</v>
      </c>
      <c r="CH40" s="219" t="s">
        <v>1144</v>
      </c>
      <c r="CI40" s="219" t="s">
        <v>1144</v>
      </c>
      <c r="CJ40" s="219" t="s">
        <v>1144</v>
      </c>
      <c r="CK40" s="219" t="s">
        <v>1144</v>
      </c>
      <c r="CL40" s="219" t="s">
        <v>1144</v>
      </c>
      <c r="CM40" s="219" t="s">
        <v>1144</v>
      </c>
      <c r="CN40" s="219" t="s">
        <v>1144</v>
      </c>
      <c r="CO40" s="219" t="s">
        <v>1144</v>
      </c>
      <c r="CP40" s="219" t="s">
        <v>1144</v>
      </c>
      <c r="CQ40" s="219" t="s">
        <v>1144</v>
      </c>
      <c r="CR40" s="219" t="s">
        <v>1144</v>
      </c>
      <c r="CS40" s="219" t="s">
        <v>1144</v>
      </c>
      <c r="CT40" s="219" t="s">
        <v>1144</v>
      </c>
      <c r="CU40" s="219" t="s">
        <v>1144</v>
      </c>
      <c r="CV40" s="219" t="s">
        <v>1144</v>
      </c>
      <c r="CW40" s="219" t="s">
        <v>1144</v>
      </c>
      <c r="CX40" s="219" t="s">
        <v>1144</v>
      </c>
      <c r="CY40" s="219" t="s">
        <v>1144</v>
      </c>
      <c r="CZ40" s="219" t="s">
        <v>1144</v>
      </c>
      <c r="DA40" s="219" t="s">
        <v>1144</v>
      </c>
      <c r="DB40" s="152" t="str">
        <f t="shared" si="32"/>
        <v xml:space="preserve">Plan Estratégico Institucional, Plan de Acción, SGC, PROCESO: Internacionalización de Bogotá, </v>
      </c>
      <c r="DC40" s="149" t="str">
        <f t="shared" si="88"/>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
      <c r="DD40" s="149" t="str">
        <f t="shared" si="88"/>
        <v>1. Evaluación de la acción de proyección y posicionamiento Internacional
2. Ejecución de la acción  de proyección y posicionamiento Internacional</v>
      </c>
      <c r="DE40" s="149" t="str">
        <f t="shared" si="88"/>
        <v>Posicionar a Bogotá cómo referente internacional a través de sus Buenas Prácticas o experiencias exitosas, en las lineas estratégicas del PDD.</v>
      </c>
      <c r="DF40" s="149" t="str">
        <f t="shared" si="88"/>
        <v xml:space="preserve">Informe de Gestión de las diferentes acciones a su cierre y según corresponda diferentes documentos generados de acuerdo con el desarrollo de la misma </v>
      </c>
      <c r="DG40" s="149" t="str">
        <f t="shared" si="88"/>
        <v>Suma</v>
      </c>
      <c r="DH40" s="149">
        <f t="shared" si="2"/>
        <v>2</v>
      </c>
      <c r="DI40" s="149">
        <f t="shared" si="3"/>
        <v>0</v>
      </c>
      <c r="DJ40" s="149">
        <f t="shared" si="4"/>
        <v>0</v>
      </c>
      <c r="DK40" s="149">
        <f t="shared" si="5"/>
        <v>0</v>
      </c>
      <c r="DL40" s="149">
        <f t="shared" si="6"/>
        <v>0</v>
      </c>
      <c r="DM40" s="149">
        <f t="shared" si="7"/>
        <v>0</v>
      </c>
      <c r="DN40" s="149">
        <f t="shared" si="36"/>
        <v>2</v>
      </c>
      <c r="DO40" s="149">
        <f t="shared" si="87"/>
        <v>0</v>
      </c>
      <c r="DP40" s="149">
        <f t="shared" si="87"/>
        <v>0</v>
      </c>
      <c r="DQ40" s="149">
        <f t="shared" si="87"/>
        <v>0</v>
      </c>
      <c r="DR40" s="149">
        <f t="shared" si="87"/>
        <v>0</v>
      </c>
      <c r="DS40" s="149">
        <f t="shared" si="87"/>
        <v>0</v>
      </c>
      <c r="DT40" s="149">
        <f t="shared" si="87"/>
        <v>2</v>
      </c>
      <c r="DU40" s="149">
        <f t="shared" si="89"/>
        <v>2</v>
      </c>
      <c r="DV40" s="149">
        <f t="shared" si="89"/>
        <v>0</v>
      </c>
      <c r="DW40" s="149" t="str">
        <f t="shared" si="89"/>
        <v/>
      </c>
      <c r="DX40" s="149" t="str">
        <f t="shared" si="89"/>
        <v xml:space="preserve">Las acciones específicas dan inicio en el mes de febrero
</v>
      </c>
      <c r="DY40" s="149" t="str">
        <f t="shared" si="89"/>
        <v>N/A</v>
      </c>
      <c r="DZ40" s="149" t="str">
        <f t="shared" si="89"/>
        <v>N/A</v>
      </c>
      <c r="EA40" s="149">
        <f t="shared" si="89"/>
        <v>0</v>
      </c>
      <c r="EB40" s="149" t="str">
        <f t="shared" si="89"/>
        <v/>
      </c>
      <c r="EC40" s="149" t="str">
        <f t="shared" si="89"/>
        <v>Se avanzó en las siguientes acciones:
1. Participación CGLU - TANGER:
CGLU, organiza anualmente un retiro que ofrece una oportunidad para que las partes clave de CGLU, así como sus socios, definan sinergias y desarrollen acciones en línea con los planes de trabajo.
En 2020, el Retiro Anual de CGLU, tuvo lugar del 24 al 29 de febrero en Tánger Marruecos. La Directora Distrital de Relaciones Internacionales, Luz Amparo Medina Gerena, participó en el evento el día.
Gestión realizada por la DDRI:
Durante esta reunión se realizaron diversas reuniones bilaterales dentro de las que se encuentran:
- Reunión Bilateral con CGLU. En la reunión participó Emilia Saiz, Secretaria General de CGLU. El objetivo fue explorar posibles áreas de trabajo en conjunto entre la red y Bogotá. 
- Reunión Bilateral con CIDEU. En la reunión participó Rosa Arlene María, Directora Ejecutiva de CIDEU. Se expusieron las prioridades de cada organización y se exploró la posibilidad de postulación de la Alcaldía de Bogotá a la vicepresidencia de CIDEU para el periodo 2020-2022 y presidencia del 2022-2024.  
- Reunión Bilateral con AL-Las. En la reunión participó Paola Arjona, Directora Técnica de la Alianza Euro Latinoamericana de Cooperación entre Ciudades (AL-Las). Se presentó a grandes rasgos la red. Se señaló que es una red que tiene como misión fortalecer las relaciones internacionales de los gobiernos locales de América Latina y Europa, sus redes y asociaciones para mejorar la calidad de sus políticas públicas y desarrollo territorial.
- Se estableció contacto con Sarah Hoflish la encargada de CGLU Aprende, con quien se están explorando posibles acciones de interés para Bogotá.
Informe final para consolidación y cierre en el mes de junio
2. Participación UCCI - MADRID - 
Desde la Unión de Ciudades Capitales Iberoamericanas- UCCI, red  ciudades de la que Bogotá hace parte, invitaron a la ciudad de Bogotá a participar en el 14º Encuentro de Directores de Relaciones Internacionales y Coordinadores de la .UCCI. Cada año se reúnen los Directores de Relaciones Internacionales y Coordinadores de la UCCI de las ciudades miembro para planear las actividades del año y realizar un balance del año anterior.
Por su parte, la Directora Distrital de Relaciones Internacionales, Luz Amparo Medina como Coordinadora UCCI en Bogotá, participó en el encuentro que se realizó del 20 al 22 de febrero de 2020, en Madrid, España.
Gestión realizada por la DDRI:
- Durante la reunión se contribuyó a la construcción del Estrategia de la UCCI 2020-2024.
- Durante el viaje a Madrid se realizaron dos reuniones bilaterales:
- Reunión Bilateral con la Embajada de Colombia en España (Madrid, España): Durante la reunión, se conversó sobre dos temas en particular; el consorcio de transportes y la gestión de residuos sólidos de Madrid. 
- Reunión Bilateral con la Dirección de Cooperación y Ciudadanía Global de Madrid (Madrid, España): tuvo como objetivo intercambiar ideas frente a potenciales oportunidades de cooperación entre el Distrito y Madrid. A la reunión asistió Cecilio Cerdán Carbonero, Director General de Cooperación y Ciudadanía Global. 
Informe final para consolidación y cierre en el mes de junio</v>
      </c>
      <c r="ED40" s="149" t="str">
        <f t="shared" si="89"/>
        <v>No se reportaron retrasos ni dificultades en la gestión</v>
      </c>
      <c r="EE40" s="149" t="str">
        <f t="shared" si="90"/>
        <v xml:space="preserve">1. La participación de la Alcaldía de Bogotá en este evento, le brindó a la administración distrital la posibilidad de potenciar su posicionamiento en el escenario internacional. Específicamente, el Retiro fue una oportunidad de impulsar las conexiones con las diferentes partes del ecosistema de CGLU.  
Asimismo, es importante resaltar que se trató de un evento de alto nivel con potencial directo de posicionamiento internacional y que respondió al interés de la Alcaldesa Claudia López de posicionar a Bogotá en esta red. 
2. Participación UCCI - MADRID
La participación de la Alcaldía de Bogotá en este evento, le brindó a la administración distrital la posibilidad de incidir en la elaboración de la Estrategia de la UCCI 2020.2024. Así como del fortalecimiento de las relaciones con las demás ciudades capitales iberoamericanas que participaron durante la reunión.
Por otro lado, se lograron fortalecer las relaciones bilaterales con la Dirección de Cooperación y Ciudadanía Global de la ciudad de Madrid y con la Embajada de Colombia en España. </v>
      </c>
      <c r="EF40" s="149">
        <f t="shared" si="90"/>
        <v>0</v>
      </c>
      <c r="EG40" s="149" t="str">
        <f t="shared" si="90"/>
        <v/>
      </c>
      <c r="EH40" s="149" t="str">
        <f t="shared" si="90"/>
        <v xml:space="preserve">Informes de las acciones en consolidación </v>
      </c>
      <c r="EI40" s="149" t="str">
        <f t="shared" si="90"/>
        <v>No se reportaron retrasos ni dificultades en la gestión</v>
      </c>
      <c r="EJ40" s="149" t="str">
        <f t="shared" si="90"/>
        <v>N/A</v>
      </c>
      <c r="EK40" s="149">
        <f t="shared" si="90"/>
        <v>0</v>
      </c>
      <c r="EL40" s="149" t="str">
        <f t="shared" si="90"/>
        <v/>
      </c>
      <c r="EM40" s="149" t="str">
        <f t="shared" si="90"/>
        <v xml:space="preserve">Informes de las acciones en consolidación </v>
      </c>
      <c r="EN40" s="149" t="str">
        <f t="shared" si="90"/>
        <v>No se reportaron retrasos ni dificultades en la gestión</v>
      </c>
      <c r="EO40" s="149" t="str">
        <f t="shared" si="91"/>
        <v>N/A</v>
      </c>
      <c r="EP40" s="149">
        <f t="shared" si="91"/>
        <v>0</v>
      </c>
      <c r="EQ40" s="149" t="str">
        <f t="shared" si="91"/>
        <v/>
      </c>
      <c r="ER40" s="149" t="str">
        <f t="shared" si="91"/>
        <v xml:space="preserve">Informes de las acciones en consolidación </v>
      </c>
      <c r="ES40" s="149" t="str">
        <f t="shared" si="91"/>
        <v>No se reportaron retrasos ni dificultades en la gestión</v>
      </c>
      <c r="ET40" s="149" t="str">
        <f t="shared" si="91"/>
        <v>N/A</v>
      </c>
      <c r="EU40" s="149">
        <f t="shared" si="78"/>
        <v>2</v>
      </c>
      <c r="EV40" s="149" t="str">
        <f t="shared" si="78"/>
        <v/>
      </c>
      <c r="EW40" s="149" t="str">
        <f t="shared" si="78"/>
        <v>Para el mes de junio se consolidó el informe de gestión final de las dos acciones ejecutadas, las cuales se relacionan a continuación::
1. Participación CGLU - TANGER
2. Participación UCCI - MADRID</v>
      </c>
      <c r="EX40" s="149" t="str">
        <f t="shared" si="78"/>
        <v>No se reportaron retrasos ni dificultades en la gestión</v>
      </c>
      <c r="EY40" s="149" t="str">
        <f t="shared" si="78"/>
        <v>Beneficios reportados en el mes de febrero.</v>
      </c>
      <c r="EZ40" s="149">
        <f t="shared" si="91"/>
        <v>2</v>
      </c>
      <c r="FA40" s="149">
        <f t="shared" si="91"/>
        <v>0</v>
      </c>
      <c r="FB40" s="149" t="str">
        <f t="shared" si="91"/>
        <v/>
      </c>
      <c r="FC40" s="149" t="str">
        <f t="shared" si="91"/>
        <v/>
      </c>
      <c r="FD40" s="149" t="str">
        <f t="shared" si="92"/>
        <v/>
      </c>
      <c r="FE40" s="149" t="str">
        <f t="shared" si="92"/>
        <v/>
      </c>
      <c r="FF40" s="149" t="str">
        <f t="shared" si="92"/>
        <v/>
      </c>
      <c r="FG40" s="149" t="str">
        <f t="shared" si="92"/>
        <v/>
      </c>
      <c r="FH40" s="149" t="str">
        <f t="shared" si="92"/>
        <v/>
      </c>
      <c r="FI40" s="149" t="str">
        <f t="shared" si="92"/>
        <v/>
      </c>
      <c r="FJ40" s="149" t="str">
        <f t="shared" si="92"/>
        <v/>
      </c>
      <c r="FK40" s="149" t="str">
        <f t="shared" si="92"/>
        <v/>
      </c>
      <c r="FL40" s="149" t="str">
        <f t="shared" si="92"/>
        <v/>
      </c>
      <c r="FM40" s="149" t="str">
        <f t="shared" si="92"/>
        <v/>
      </c>
      <c r="FN40" s="149" t="str">
        <f t="shared" si="93"/>
        <v/>
      </c>
      <c r="FO40" s="149" t="str">
        <f t="shared" si="93"/>
        <v/>
      </c>
      <c r="FP40" s="149" t="str">
        <f t="shared" si="93"/>
        <v/>
      </c>
      <c r="FQ40" s="149" t="str">
        <f t="shared" si="93"/>
        <v/>
      </c>
      <c r="FR40" s="149" t="str">
        <f t="shared" si="93"/>
        <v/>
      </c>
      <c r="FS40" s="149" t="str">
        <f t="shared" si="93"/>
        <v/>
      </c>
      <c r="FT40" s="149" t="str">
        <f t="shared" si="93"/>
        <v/>
      </c>
      <c r="FU40" s="149" t="str">
        <f t="shared" si="93"/>
        <v/>
      </c>
      <c r="FV40" s="149" t="str">
        <f t="shared" si="93"/>
        <v/>
      </c>
      <c r="FW40" s="149" t="str">
        <f t="shared" si="93"/>
        <v/>
      </c>
      <c r="FX40" s="149" t="str">
        <f t="shared" si="94"/>
        <v/>
      </c>
      <c r="FY40" s="149" t="str">
        <f t="shared" si="94"/>
        <v/>
      </c>
      <c r="FZ40" s="149" t="str">
        <f t="shared" si="94"/>
        <v/>
      </c>
      <c r="GA40" s="149" t="str">
        <f t="shared" si="94"/>
        <v/>
      </c>
      <c r="GB40" s="149" t="str">
        <f t="shared" si="94"/>
        <v/>
      </c>
      <c r="GC40" s="149" t="str">
        <f t="shared" si="94"/>
        <v/>
      </c>
      <c r="GD40" s="149" t="str">
        <f t="shared" si="94"/>
        <v/>
      </c>
      <c r="GE40" s="149" t="str">
        <f t="shared" si="94"/>
        <v/>
      </c>
      <c r="GF40" s="149">
        <f t="shared" si="33"/>
        <v>0</v>
      </c>
      <c r="GG40" s="149">
        <f t="shared" si="22"/>
        <v>0</v>
      </c>
      <c r="GH40" s="149">
        <f t="shared" si="23"/>
        <v>0</v>
      </c>
      <c r="GI40" s="149">
        <f t="shared" si="24"/>
        <v>0</v>
      </c>
      <c r="GJ40" s="149">
        <f t="shared" si="25"/>
        <v>0</v>
      </c>
      <c r="GK40" s="149">
        <f t="shared" si="34"/>
        <v>2</v>
      </c>
      <c r="GL40" s="149">
        <f t="shared" si="15"/>
        <v>0</v>
      </c>
      <c r="GM40" s="149">
        <f t="shared" si="16"/>
        <v>0</v>
      </c>
      <c r="GN40" s="149">
        <f t="shared" si="17"/>
        <v>0</v>
      </c>
      <c r="GO40" s="149">
        <f t="shared" si="18"/>
        <v>0</v>
      </c>
      <c r="GP40" s="149">
        <f t="shared" si="19"/>
        <v>0</v>
      </c>
      <c r="GQ40" s="149">
        <f t="shared" si="19"/>
        <v>100</v>
      </c>
      <c r="GR40" s="153">
        <f t="shared" si="83"/>
        <v>100</v>
      </c>
      <c r="GS40" s="149" t="str">
        <f t="shared" si="37"/>
        <v>No Programó</v>
      </c>
      <c r="GT40" s="149" t="str">
        <f>+IF(OR($A40=52,$A40=124),1,IFERROR(IF($X40="Creciente",IF($AB40="Número",SUM($GL40:GM40)/SUM($DO40:DP40)*($AX40-$AW40),SUM($GL40:GM40)/SUM($DO40:DP40))*($AX40-$AW40),IF($DG40="Creciente",GM40*GM40/GM40,IF(AND($DG40="Constante",$AB40="Porcentaje"),AVERAGEIF($GL40:GM40,"&lt;&gt;0")/AVERAGEIF($DO40:DP40,"&lt;&gt;0")*100,SUM($GL40:GM40)/SUM($DO40:DP40)*$DU40))),GS40))</f>
        <v>No Programó</v>
      </c>
      <c r="GU40" s="149" t="str">
        <f>+IF(OR($A40=52,$A40=124),1,IFERROR(IF($X40="Creciente",IF($AB40="Número",SUM($GL40:GN40)/SUM($DO40:DQ40)*($AX40-$AW40),SUM($GL40:GN40)/SUM($DO40:DQ40))*($AX40-$AW40),IF($DG40="Creciente",GN40*GN40/GN40,IF(AND($DG40="Constante",$AB40="Porcentaje"),AVERAGEIF($GL40:GN40,"&lt;&gt;0")/AVERAGEIF($DO40:DQ40,"&lt;&gt;0")*100,SUM($GL40:GN40)/SUM($DO40:DQ40)*$DU40))),GT40))</f>
        <v>No Programó</v>
      </c>
      <c r="GV40" s="149" t="str">
        <f>+IF(OR($A40=52,$A40=124),1,IFERROR(IF($X40="Creciente",IF($AB40="Número",SUM($GL40:GO40)/SUM($DO40:DR40)*($AX40-$AW40),SUM($GL40:GO40)/SUM($DO40:DR40))*($AX40-$AW40),IF($DG40="Creciente",GO40*GO40/GO40,IF(AND($DG40="Constante",$AB40="Porcentaje"),AVERAGEIF($GL40:GO40,"&lt;&gt;0")/AVERAGEIF($DO40:DR40,"&lt;&gt;0")*100,SUM($GL40:GO40)/SUM($DO40:DR40)*$DU40))),GU40))</f>
        <v>No Programó</v>
      </c>
      <c r="GW40" s="149" t="str">
        <f>+IF(OR($A40=52,$A40=124),1,IFERROR(IF($X40="Creciente",IF($AB40="Número",SUM($GL40:GP40)/SUM($DO40:DS40)*($AX40-$AW40),SUM($GL40:GP40)/SUM($DO40:DS40))*($AX40-$AW40),IF($DG40="Creciente",GP40*GP40/GP40,IF(AND($DG40="Constante",$AB40="Porcentaje"),AVERAGEIF($GL40:GP40,"&lt;&gt;0")/AVERAGEIF($DO40:DS40,"&lt;&gt;0")*100,SUM($GL40:GP40)/SUM($DO40:DS40)*$DU40))),GV40))</f>
        <v>No Programó</v>
      </c>
      <c r="GX40" s="149">
        <f>+IF(OR($A40=52,$A40=124),1,IFERROR(IF($X40="Creciente",IF($AB40="Número",SUM($GL40:GQ40)/SUM($DO40:DT40)*($AX40-$AW40),SUM($GL40:GQ40)/SUM($DO40:DT40))*($AX40-$AW40),IF($DG40="Creciente",GQ40*GQ40/GQ40,IF(AND($DG40="Constante",$AB40="Porcentaje"),AVERAGEIF($GL40:GQ40,"&lt;&gt;0")/AVERAGEIF($DO40:DT40,"&lt;&gt;0")*100,SUM($GL40:GQ40)/SUM($DO40:DT40)*$DU40))),GW40))</f>
        <v>100</v>
      </c>
      <c r="GY40" s="149" t="str">
        <f t="shared" si="28"/>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
      <c r="GZ40" s="149" t="str">
        <f t="shared" si="29"/>
        <v>1. Evaluación de la acción de proyección y posicionamiento Internacional
2. Ejecución de la acción  de proyección y posicionamiento Internacional</v>
      </c>
      <c r="HA40" s="149" t="str">
        <f t="shared" si="30"/>
        <v>Posicionar a Bogotá cómo referente internacional a través de sus Buenas Prácticas o experiencias exitosas, en las lineas estratégicas del PDD.</v>
      </c>
      <c r="HB40" s="149" t="str">
        <f t="shared" si="31"/>
        <v xml:space="preserve">Informe de Gestión de las diferentes acciones a su cierre y según corresponda diferentes documentos generados de acuerdo con el desarrollo de la misma </v>
      </c>
      <c r="HC40" s="149" t="str">
        <f t="shared" si="85"/>
        <v>Cumple</v>
      </c>
      <c r="HD40" s="149" t="str">
        <f t="shared" si="85"/>
        <v>No programó</v>
      </c>
      <c r="HE40" s="149" t="str">
        <f t="shared" si="85"/>
        <v>Adecuado</v>
      </c>
      <c r="HF40" s="149" t="str">
        <f t="shared" si="85"/>
        <v>Coherente</v>
      </c>
      <c r="HG40" s="149" t="str">
        <f t="shared" si="85"/>
        <v>No aplica</v>
      </c>
      <c r="HH40" s="149" t="str">
        <f t="shared" si="85"/>
        <v>Concuerda</v>
      </c>
      <c r="HI40" s="149">
        <f t="shared" si="85"/>
        <v>0</v>
      </c>
      <c r="HJ40" s="149" t="str">
        <f t="shared" si="85"/>
        <v>Adecuado</v>
      </c>
      <c r="HK40" s="149" t="str">
        <f t="shared" si="85"/>
        <v>Oportuna</v>
      </c>
      <c r="HL40" s="149" t="str">
        <f t="shared" si="85"/>
        <v>Aun cuando el indicador tiene programación para el mes de junio se presenta avance de la gestión adelantada durante el periodo la cual está registrada a conformidad</v>
      </c>
      <c r="HM40" s="149" t="str">
        <f t="shared" si="86"/>
        <v>Marcela Andrea García Guerrero</v>
      </c>
      <c r="HN40" s="149" t="str">
        <f t="shared" si="86"/>
        <v>Cumple</v>
      </c>
      <c r="HO40" s="149" t="str">
        <f t="shared" si="86"/>
        <v>Cumplido</v>
      </c>
      <c r="HP40" s="149" t="str">
        <f t="shared" si="86"/>
        <v>Adecuado</v>
      </c>
      <c r="HQ40" s="149" t="str">
        <f t="shared" si="86"/>
        <v>Coherente</v>
      </c>
      <c r="HR40" s="149" t="str">
        <f t="shared" si="86"/>
        <v>Concuerda</v>
      </c>
      <c r="HS40" s="149" t="str">
        <f t="shared" si="86"/>
        <v>Concuerda</v>
      </c>
      <c r="HT40" s="149">
        <f t="shared" si="86"/>
        <v>0</v>
      </c>
      <c r="HU40" s="149" t="str">
        <f t="shared" si="86"/>
        <v>Adecuado</v>
      </c>
      <c r="HV40" s="149" t="str">
        <f t="shared" si="86"/>
        <v>Oportuna</v>
      </c>
      <c r="HW40" s="149" t="str">
        <f t="shared" si="86"/>
        <v>Ninguna</v>
      </c>
      <c r="HX40" s="149" t="str">
        <f t="shared" si="86"/>
        <v>Marcela Andrea García Guerrero</v>
      </c>
    </row>
    <row r="41" spans="1:241" s="149" customFormat="1" x14ac:dyDescent="0.3">
      <c r="A41" s="145">
        <v>22</v>
      </c>
      <c r="B41" s="146" t="s">
        <v>1144</v>
      </c>
      <c r="C41" s="146" t="s">
        <v>1144</v>
      </c>
      <c r="D41" s="146" t="s">
        <v>1144</v>
      </c>
      <c r="E41" s="146" t="s">
        <v>1144</v>
      </c>
      <c r="F41" s="136" t="s">
        <v>1499</v>
      </c>
      <c r="G41" s="146" t="s">
        <v>1144</v>
      </c>
      <c r="H41" s="146" t="s">
        <v>1144</v>
      </c>
      <c r="I41" s="149" t="s">
        <v>1146</v>
      </c>
      <c r="J41" s="154" t="s">
        <v>175</v>
      </c>
      <c r="K41" s="154" t="s">
        <v>176</v>
      </c>
      <c r="L41" s="154" t="s">
        <v>177</v>
      </c>
      <c r="M41" s="154" t="s">
        <v>1413</v>
      </c>
      <c r="N41" s="154" t="s">
        <v>1414</v>
      </c>
      <c r="O41" s="154" t="s">
        <v>1415</v>
      </c>
      <c r="P41" s="148" t="s">
        <v>1499</v>
      </c>
      <c r="Q41" s="154" t="s">
        <v>1500</v>
      </c>
      <c r="R41" s="154" t="s">
        <v>1501</v>
      </c>
      <c r="S41" s="154" t="s">
        <v>1502</v>
      </c>
      <c r="T41" s="154" t="s">
        <v>1503</v>
      </c>
      <c r="U41" s="154" t="s">
        <v>1504</v>
      </c>
      <c r="V41" s="154" t="s">
        <v>1505</v>
      </c>
      <c r="W41" s="148" t="s">
        <v>601</v>
      </c>
      <c r="X41" s="154" t="s">
        <v>601</v>
      </c>
      <c r="Y41" s="154" t="s">
        <v>1506</v>
      </c>
      <c r="Z41" s="154" t="s">
        <v>1507</v>
      </c>
      <c r="AA41" s="154" t="s">
        <v>1508</v>
      </c>
      <c r="AB41" s="154" t="s">
        <v>602</v>
      </c>
      <c r="AC41" s="154" t="s">
        <v>1159</v>
      </c>
      <c r="AD41" s="154" t="s">
        <v>1160</v>
      </c>
      <c r="AE41" s="154">
        <v>2016</v>
      </c>
      <c r="AF41" s="154">
        <v>0.95499999999999996</v>
      </c>
      <c r="AG41" s="154">
        <v>2016</v>
      </c>
      <c r="AH41" s="154">
        <v>0</v>
      </c>
      <c r="AI41" s="154">
        <v>0.98</v>
      </c>
      <c r="AJ41" s="154">
        <v>0.98</v>
      </c>
      <c r="AK41" s="154">
        <v>0.98</v>
      </c>
      <c r="AL41" s="221">
        <v>0.98</v>
      </c>
      <c r="AM41" s="154">
        <v>0</v>
      </c>
      <c r="AN41" s="146" t="s">
        <v>1144</v>
      </c>
      <c r="AO41" s="146" t="s">
        <v>1144</v>
      </c>
      <c r="AP41" s="146" t="s">
        <v>1144</v>
      </c>
      <c r="AQ41" s="146" t="s">
        <v>1144</v>
      </c>
      <c r="AR41" s="146" t="s">
        <v>1144</v>
      </c>
      <c r="AS41" s="150" t="s">
        <v>1144</v>
      </c>
      <c r="AT41" s="232">
        <v>0</v>
      </c>
      <c r="AU41" s="232">
        <v>98</v>
      </c>
      <c r="AV41" s="232">
        <v>98</v>
      </c>
      <c r="AW41" s="232">
        <v>98</v>
      </c>
      <c r="AX41" s="232">
        <v>98</v>
      </c>
      <c r="AY41" s="232">
        <v>0</v>
      </c>
      <c r="BD41" s="149">
        <v>0</v>
      </c>
      <c r="BJ41" s="149">
        <v>0</v>
      </c>
      <c r="BK41" s="146" t="s">
        <v>1144</v>
      </c>
      <c r="BL41" s="146" t="s">
        <v>1144</v>
      </c>
      <c r="BM41" s="146" t="s">
        <v>1144</v>
      </c>
      <c r="BN41" s="146" t="s">
        <v>1144</v>
      </c>
      <c r="BO41" s="146" t="s">
        <v>1144</v>
      </c>
      <c r="BP41" s="146" t="s">
        <v>1144</v>
      </c>
      <c r="BQ41" s="146" t="s">
        <v>1144</v>
      </c>
      <c r="BR41" s="146" t="s">
        <v>1144</v>
      </c>
      <c r="BS41" s="146" t="s">
        <v>1144</v>
      </c>
      <c r="BT41" s="146" t="s">
        <v>1144</v>
      </c>
      <c r="BU41" s="146" t="s">
        <v>1144</v>
      </c>
      <c r="BV41" s="146" t="s">
        <v>1144</v>
      </c>
      <c r="BW41" s="219" t="s">
        <v>1144</v>
      </c>
      <c r="BX41" s="219" t="s">
        <v>1144</v>
      </c>
      <c r="BY41" s="219" t="s">
        <v>1144</v>
      </c>
      <c r="BZ41" s="219">
        <v>1</v>
      </c>
      <c r="CA41" s="219" t="s">
        <v>1144</v>
      </c>
      <c r="CB41" s="219" t="s">
        <v>1144</v>
      </c>
      <c r="CC41" s="219" t="s">
        <v>1144</v>
      </c>
      <c r="CD41" s="219">
        <v>1</v>
      </c>
      <c r="CE41" s="219" t="s">
        <v>261</v>
      </c>
      <c r="CF41" s="219" t="s">
        <v>1144</v>
      </c>
      <c r="CG41" s="219" t="s">
        <v>1144</v>
      </c>
      <c r="CH41" s="219" t="s">
        <v>1144</v>
      </c>
      <c r="CI41" s="219" t="s">
        <v>1144</v>
      </c>
      <c r="CJ41" s="219" t="s">
        <v>1144</v>
      </c>
      <c r="CK41" s="219" t="s">
        <v>1144</v>
      </c>
      <c r="CL41" s="219" t="s">
        <v>1144</v>
      </c>
      <c r="CM41" s="219" t="s">
        <v>1144</v>
      </c>
      <c r="CN41" s="219" t="s">
        <v>1144</v>
      </c>
      <c r="CO41" s="219" t="s">
        <v>1144</v>
      </c>
      <c r="CP41" s="219" t="s">
        <v>1144</v>
      </c>
      <c r="CQ41" s="219" t="s">
        <v>1144</v>
      </c>
      <c r="CR41" s="219" t="s">
        <v>1144</v>
      </c>
      <c r="CS41" s="219" t="s">
        <v>1144</v>
      </c>
      <c r="CT41" s="219" t="s">
        <v>1144</v>
      </c>
      <c r="CU41" s="219" t="s">
        <v>1144</v>
      </c>
      <c r="CV41" s="219" t="s">
        <v>1144</v>
      </c>
      <c r="CW41" s="219" t="s">
        <v>1144</v>
      </c>
      <c r="CX41" s="219" t="s">
        <v>1144</v>
      </c>
      <c r="CY41" s="219" t="s">
        <v>1144</v>
      </c>
      <c r="CZ41" s="219" t="s">
        <v>1144</v>
      </c>
      <c r="DA41" s="219" t="s">
        <v>1144</v>
      </c>
      <c r="DB41" s="152" t="str">
        <f>IF(BW41="No Aplica","",$BW$5)&amp;IF(BX41="No Aplica","",$BX$5)&amp;IF(BY41="No Aplica","",$BY$5)&amp;IF(BZ41="No Aplica","",$BZ$5)&amp;IF(CA41="No Aplica","",$CA$5)&amp;IF(CB41="No Aplica","",CB41&amp;" ")&amp;IF(CC41="No Aplica","",CC41&amp;", ")&amp;IF(CD41="No Aplica","",$CD$5)&amp;IF(CE41="No Aplica","",$CE$5&amp;CE41&amp;", ")&amp;IF(CF41="No Aplica","",$CF$5)&amp;IF(CG41="No Aplica","",$CG$5)&amp;IF(CH41="No Aplica","",$CH$5)&amp;IF(CI41="No Aplica","",$CI$5)&amp;IF(CJ41="No Aplica","",$CJ$5)&amp;IF(CK41="No Aplica","",$CK$5)&amp;IF(CL41="No Aplica","",$CL$5)&amp;IF(CM41="No Aplica","",$CM$5)&amp;IF(CN41="No Aplica","",$CN$5)&amp;IF(CO41="No Aplica","",$CO$5)&amp;IF(CP41="No Aplica","",$CP$5)&amp;IF(CQ41="No Aplica","",$CQ$5)&amp;IF(CR41="No Aplica","",$CR$5)&amp;IF(CS41="No Aplica","",$CS$5)&amp;IF(CT41="No Aplica","",$CT$5)&amp;IF(CU41="No Aplica","",$CU$5)&amp;IF(CV41="No Aplica","",$CV$5)&amp;IF(CW41="No Aplica","",CW41&amp;", ")&amp;IF(CX41="No Aplica","",$CX$5&amp;CX41&amp;", ")&amp;IF(CY41="No Aplica","",$CY$5)&amp;IF(CZ41="No Aplica","",$CZ$5)&amp;IF(DA41="No Aplica","",$DA$5)</f>
        <v xml:space="preserve">Plan de Acción, SGC, PROCESO: Gestión de la Función Archivística y del patrimonio documental del Distrito Capital, </v>
      </c>
      <c r="DC41" s="149" t="str">
        <f t="shared" si="88"/>
        <v>Mejorar el índice de satisfacción de  las entidades distritales frente a los servicios prestados por el Archivo de Bogotá</v>
      </c>
      <c r="DD41" s="149" t="str">
        <f t="shared" si="88"/>
        <v>Aplicar la herramienta para medir el grado de satisfacción de las entidades distritales.</v>
      </c>
      <c r="DE41" s="149" t="str">
        <f t="shared" si="88"/>
        <v>Identificar el grado de satisfacción de las entidades frente a los servicios prestados por la Dirección Distrital de Archivo, con el fin de reunir informacion que permita una adecuada toma de desiciones para un excelente servicio a las entidades</v>
      </c>
      <c r="DF41" s="149" t="str">
        <f t="shared" si="88"/>
        <v>Informe mensual de resultados de la medición de la encuesta de satisfacción a las entidades distritales.</v>
      </c>
      <c r="DG41" s="149" t="str">
        <f t="shared" si="88"/>
        <v>Constante</v>
      </c>
      <c r="DH41" s="149" t="str">
        <f>+IF(VLOOKUP($A41,consolidado,MATCH(DH$5,consolidadofila,0),0)=0,DU41,VLOOKUP($A41,consolidado,MATCH(DH$5,consolidadofila,0),0))</f>
        <v/>
      </c>
      <c r="DI41" s="149">
        <f t="shared" ref="DI41:DM42" si="95">+VLOOKUP($A41,consolidado,MATCH(DO$5,consolidadofila,0),0)</f>
        <v>98</v>
      </c>
      <c r="DJ41" s="149">
        <f t="shared" si="95"/>
        <v>98</v>
      </c>
      <c r="DK41" s="149">
        <f t="shared" si="95"/>
        <v>98</v>
      </c>
      <c r="DL41" s="149">
        <f t="shared" si="95"/>
        <v>98</v>
      </c>
      <c r="DM41" s="149">
        <f t="shared" si="95"/>
        <v>98</v>
      </c>
      <c r="DN41" s="149">
        <f t="shared" si="36"/>
        <v>98</v>
      </c>
      <c r="DO41" s="149">
        <f t="shared" si="87"/>
        <v>98</v>
      </c>
      <c r="DP41" s="149">
        <f t="shared" si="87"/>
        <v>98</v>
      </c>
      <c r="DQ41" s="149">
        <f t="shared" si="87"/>
        <v>98</v>
      </c>
      <c r="DR41" s="149">
        <f t="shared" si="87"/>
        <v>98</v>
      </c>
      <c r="DS41" s="149">
        <f t="shared" si="87"/>
        <v>98</v>
      </c>
      <c r="DT41" s="149">
        <f t="shared" si="87"/>
        <v>98</v>
      </c>
      <c r="DU41" s="149">
        <f t="shared" si="89"/>
        <v>98</v>
      </c>
      <c r="DV41" s="149">
        <f t="shared" si="89"/>
        <v>100</v>
      </c>
      <c r="DW41" s="149">
        <f t="shared" si="89"/>
        <v>100</v>
      </c>
      <c r="DX41" s="149" t="str">
        <f t="shared" si="89"/>
        <v xml:space="preserve"> En el mes de enero se aplicaron cinco (5) encuestas arrojando un porcentaje de satisfacción del 100 %. Las encuestas se distribuyeron en asistencias técnicas dadas a las siguientes entidades: EAAB, Aguas de Bogotá, ERU e IDT. Como resultado de la aplicación de las encuestas se realizó el informe correspondiente al mes de enero.   </v>
      </c>
      <c r="DY41" s="149" t="str">
        <f t="shared" si="89"/>
        <v>No Aplica</v>
      </c>
      <c r="DZ41" s="149" t="str">
        <f t="shared" si="89"/>
        <v>La aplicación de las encuestas tiene como beneficio la medición de la calidad del servicio prestado a las entidades. En este caso se obtuvo  la mejor calificación posible.</v>
      </c>
      <c r="EA41" s="149">
        <f t="shared" si="89"/>
        <v>95</v>
      </c>
      <c r="EB41" s="149">
        <f t="shared" si="89"/>
        <v>100</v>
      </c>
      <c r="EC41" s="149" t="str">
        <f t="shared" si="89"/>
        <v xml:space="preserve">En el mes de febrero se aplicaron once (11) encuestas arrojando un porcentaje de satisfacción del 95%. Las encuestas se distribuyeron en asistencias técnicas dadas a las siguientes entidades: IPES, Aguas de Bogotá, DADEP, Canal Capital, IDPYBA, EAAB, FONCEP y Lotería de Bogotá. Como resultado de la aplicación de las encuestas se realizó el informe correspondiente al mes de febrero.                                                                                              
</v>
      </c>
      <c r="ED41" s="149" t="str">
        <f t="shared" si="89"/>
        <v xml:space="preserve"> Se identificó particularmente en las asistencias dadas al IDPYBA, toda vez que en un mismo momento se aplicaron varias encuestas en diferentes mesas de trabajo, para lo cual se tomarán los correctivos necesarios para mejorar lo pertinente teniendo en cuenta las fortalezas y las oportunidades de mejora del servicio.            </v>
      </c>
      <c r="EE41" s="149" t="str">
        <f t="shared" si="90"/>
        <v>La aplicación de las encuestas tiene como beneficio la medición de la calidad del servicio prestado a las entidad.alcanzando un porcentaje satisfactorio del 95%.</v>
      </c>
      <c r="EF41" s="149">
        <f t="shared" si="90"/>
        <v>98</v>
      </c>
      <c r="EG41" s="149">
        <f t="shared" si="90"/>
        <v>100</v>
      </c>
      <c r="EH41" s="149" t="str">
        <f t="shared" si="90"/>
        <v xml:space="preserve">  En el mes de marzo se aplicaron diecíseis (16) encuestas de satisfacción correspondiente a mesas de trabajo y una jornada de socialización, arrojando un porcentaje de satisfacción del 98%. Estas encuestas se aplicaron a las siguientes entidades: Aguas de Bogota, Empresa Metro, Instituto Distrital de Turismo, Loteria de Bogotá, Secretaría Distrital de Ambiente, Secretaría Distrital de Movilidad, Secretaría Distrital de la Mujer, Secretaría Distrital de Seguridad Convivencia y Justicia, Subred Suroccidente, Veeduria e IDIPYBA. Como resultado de la aplicación de las encuestas se realizó el informe correspondiente al mes de marzo.
</v>
      </c>
      <c r="EI41" s="149" t="str">
        <f t="shared" si="90"/>
        <v>No Aplica</v>
      </c>
      <c r="EJ41" s="149" t="str">
        <f t="shared" si="90"/>
        <v xml:space="preserve">La aplicación de las encuestas tiene como beneficio la medición de la calidad del servicio prestado a las entidades. En este caso el servicio mejoró en relación con el mes pasado y permitió apoyar criterios temáticos para la realización de acciones de asistencia técnica por oferta, generando estrategias de acompañamiento de acuerdo con el grado de interés manifestado por las entidades distritales, las cuales nacen de las necesidades identificadas, problemas, retos en temas de gestión documental y archivos, y de la función archivística. </v>
      </c>
      <c r="EK41" s="149">
        <f t="shared" si="90"/>
        <v>98</v>
      </c>
      <c r="EL41" s="149">
        <f t="shared" si="90"/>
        <v>100</v>
      </c>
      <c r="EM41" s="149" t="str">
        <f t="shared" si="90"/>
        <v>En el  mes de abril se aplicaron veintiún (21) encuestas de satisfacción, las cuales corresponden al desarrollo de diez (10) mesas de trabajo por oferta y  once (11) mesas de trabajo por demanda, arrojando un porcentaje de satisfacción del 98%, Estas encuestas se aplicaron a las siguientes entidades: Instituto Distrital de la Artes (IDARTES), Secretaría de Educación del Distrito (SED), Instituto Distrital de Patrimonio Cultural (IDPC), Secretaría Distrital de Movilidad (SDM), Instituto de Desarrollo Urbano (IDU), Empresa de Acueducto y Alcantarillado de Bogotá (EAAB), Instituto para la Economía Social (IPES), Secretaría Distrital de Salud (SDS), Departamento Administrativo de Defensoría del Espacio Público, (DADEP) Instituto Distrital de la Participación y Acción Comunal (IDPAC), Terminal de Transportes, Transmilenio, Secretaría de Integración Social (SDIS), Subred Integrada de Salud Sur, Subred Integrada de Salud Sur Occidente, Subred Integrada de Servicios de Salud Norte, Subred Integrada de Centro Oriente, Metro, Capital Salud y  Empresa de Renovación Urbana (ERU)
 Como resultado de la aplicación de las encuestas se realizó el informe correspondiente al mes de abril.</v>
      </c>
      <c r="EN41" s="149" t="str">
        <f t="shared" si="90"/>
        <v>No Aplica</v>
      </c>
      <c r="EO41" s="149" t="str">
        <f t="shared" si="91"/>
        <v xml:space="preserve">La aplicación de las encuestas tiene como beneficio la medición de la calidad del servicio prestado a las entidades. En este caso el servicio se mantuvo en relación con el mes pasado y permitió apoyar criterios temáticos para la realización de acciones de asistencia técnica por oferta, en temas como Tabla de Retención Documental (TRD), Tabla de Valoración Documental (TVD), Sistema Integrado de Conservación (SIC) y Banco Terminológico (BT), Intervención de fondo documental acumulado, elaboración de inventarios para el desarrollo de los procesos de la gestión documental y ajustes en las fichas técnicas a los procesos de contratación relacionados con los temas de gestión documental y archivos. </v>
      </c>
      <c r="EP41" s="149">
        <f t="shared" si="91"/>
        <v>98</v>
      </c>
      <c r="EQ41" s="149">
        <f t="shared" si="91"/>
        <v>100</v>
      </c>
      <c r="ER41" s="149" t="str">
        <f t="shared" si="91"/>
        <v>En el mes de mayo se aplicaron diecinueve (19) encuestas de satisfacción, que corresponden al mismo número de mesas de trabajo: 10 por oferta y 9 por demanda, arrojando un porcentaje de satisfacción del 98%, éstas encuestas se aplicaron a las siguientes entidades: IDARTES, IDRIPON, SDS, SDP, SDA, Terminal, Concejo, SDE, IDRD, IDCBIS, EAAB, FUGA, UMV, Veeduría, IDT, Capital Salud y  SDIS.
Como resultado de la aplicación de las encuestas se realizó el informe correspondiente al mes de mayo.</v>
      </c>
      <c r="ES41" s="149" t="str">
        <f t="shared" si="91"/>
        <v>No Aplica</v>
      </c>
      <c r="ET41" s="149" t="str">
        <f t="shared" si="91"/>
        <v>El resultado de estas acciones ha sido el acompañamiento técnico a las entidades en la elaboración e implementación de sus instrumentos archivísticos, Tabla de Retención Documental (TRD), Sistema Integrado de Conservación (SIC) , Banco Terminológico (BT) y ajustes en las fichas y/o anexos técnicos a los procesos de contratación relacionados con los temas de gestión documental y archivos. Como resultado también se indetificó que las tres necesidades técnicas y administrativas más importantes son: Tabla de Control de Acceso, Banco Terminológico y SIC: Plan de Presenvación Digital.</v>
      </c>
      <c r="EU41" s="149">
        <f t="shared" si="78"/>
        <v>97</v>
      </c>
      <c r="EV41" s="149">
        <f t="shared" si="78"/>
        <v>100</v>
      </c>
      <c r="EW41" s="149" t="str">
        <f t="shared" si="78"/>
        <v>En el mes de junio se aplicaron treinta y dos (32) encuestas de satisfacción, las cuales corresponden al mismo número de mesas de trabajo, diez (10) mesas de trabajo por oferta y veintídos (22) mesas de trabajo por demanda, arrojando un porcentaje de satisfacción del 97%. Estas encuestas se aplicaron a las siguientes entidades: Secretaría Distrital de Ambiente, Empresa de Transporte del Tercer Milenio -Transmilenio, Canal Capital, Instituto para la Economía Social -IPES, Secretaría Distrital de Movilidad, Secretaría Distrital de Planeación, Universidad Distrital Francisco José de Caldas, Secretaría Distrital de Salud, Entidad Asesora de Gestión Administrativa y Técnica -EAGAT, La Terminal de Transporte S.A, Instituto de Desarrollo Urbano -IDU, Instituto Distrital de las Artes -IDARTES, Empresa de Acueducto y Alcantarillado de Bogotá -EAAB, Caja de Vivienda Popular -CVP, Unidad Administrativa Especial de Rehabilitación y Mantenimiento Vial -UAERMV, Secretaría Distrital de Seguridad, Convivencia y Justicia, Instituto Distrital de Protección y Bienestar Animal -IDPYBA, Secretaría de Cultura, Recreación y Deporte, Secretaría de Integración Social, Secretaría General de la Alcaldía Mayor de Bogotá, Secretaría Distrital de Hacienda y Departamento Administrativo de la Defensoría del Espacio Público-DADEP.                            Como resultado de la aplicación de las encuestas se realizó el informe correspondiente al mes de junio.</v>
      </c>
      <c r="EX41" s="149" t="str">
        <f t="shared" si="78"/>
        <v xml:space="preserve">Se evidencia que el indicador bajó con relación a los meses anteriores, lo cual indica que para el mes de junio no se logró cumplir con la meta establecida que es del 98%. Lo anterior, se da teniendo en cuenta que varias entidades distritales calificaron con un valor de 7 u 8, especialmente en la pregunta No. 6: “¿El contenido del material dispuesto por los profesionales (talleres, normatividad, presentaciones, otros) fue el adecuado para el desarrollo de la asistencia técnica?”. Este resultado obedece a la situación de pandemia ocasionada por el COVID-19, las medidas de aislamiento preventivo obligatorio y la priorización del trabajo en casa, ocasionando, problemas de conectividad, dificultando el desarrollo de las mesas de trabajo de asistencia técnica de manera virtual y por ende visualizar el contenido.  Así las cosas, al interior del equipo se está evaluando la implementación de una estrategia que logré mejorar el nivel de satisfacción en este aspecto.
</v>
      </c>
      <c r="EY41" s="149" t="str">
        <f t="shared" si="78"/>
        <v>Se evidencia que alcanzamos el máximo nivel de satisfacción para los siguientes aspectos: El conocimiento de los profesionales frente a los diferentes temas desarrollados, los conceptos emitidos fueron claros y las asistencias técnicas fueron correctamente orientadas y enfocadas,  logrando así que las entidades distritales solucionaran sus dudas técnicas frente a las diferentes temáticas brindadas y éstas sean implementadas al interior de las entidades para mejorar la gestión documental y archivística.</v>
      </c>
      <c r="EZ41" s="149">
        <f t="shared" si="91"/>
        <v>586</v>
      </c>
      <c r="FA41" s="149">
        <f t="shared" si="91"/>
        <v>600</v>
      </c>
      <c r="FB41" s="149" t="str">
        <f t="shared" si="91"/>
        <v/>
      </c>
      <c r="FC41" s="149" t="str">
        <f t="shared" si="91"/>
        <v/>
      </c>
      <c r="FD41" s="149" t="str">
        <f t="shared" si="92"/>
        <v/>
      </c>
      <c r="FE41" s="149" t="str">
        <f t="shared" si="92"/>
        <v/>
      </c>
      <c r="FF41" s="149" t="str">
        <f t="shared" si="92"/>
        <v/>
      </c>
      <c r="FG41" s="149" t="str">
        <f t="shared" si="92"/>
        <v/>
      </c>
      <c r="FH41" s="149" t="str">
        <f t="shared" si="92"/>
        <v/>
      </c>
      <c r="FI41" s="149" t="str">
        <f t="shared" si="92"/>
        <v/>
      </c>
      <c r="FJ41" s="149" t="str">
        <f t="shared" si="92"/>
        <v/>
      </c>
      <c r="FK41" s="149" t="str">
        <f t="shared" si="92"/>
        <v/>
      </c>
      <c r="FL41" s="149" t="str">
        <f t="shared" si="92"/>
        <v/>
      </c>
      <c r="FM41" s="149" t="str">
        <f t="shared" si="92"/>
        <v/>
      </c>
      <c r="FN41" s="149" t="str">
        <f t="shared" si="93"/>
        <v/>
      </c>
      <c r="FO41" s="149" t="str">
        <f t="shared" si="93"/>
        <v/>
      </c>
      <c r="FP41" s="149" t="str">
        <f t="shared" si="93"/>
        <v/>
      </c>
      <c r="FQ41" s="149" t="str">
        <f t="shared" si="93"/>
        <v/>
      </c>
      <c r="FR41" s="149" t="str">
        <f t="shared" si="93"/>
        <v/>
      </c>
      <c r="FS41" s="149" t="str">
        <f t="shared" si="93"/>
        <v/>
      </c>
      <c r="FT41" s="149" t="str">
        <f t="shared" si="93"/>
        <v/>
      </c>
      <c r="FU41" s="149" t="str">
        <f t="shared" si="93"/>
        <v/>
      </c>
      <c r="FV41" s="149" t="str">
        <f t="shared" si="93"/>
        <v/>
      </c>
      <c r="FW41" s="149" t="str">
        <f t="shared" si="93"/>
        <v/>
      </c>
      <c r="FX41" s="149" t="str">
        <f t="shared" si="94"/>
        <v/>
      </c>
      <c r="FY41" s="149" t="str">
        <f t="shared" si="94"/>
        <v/>
      </c>
      <c r="FZ41" s="149" t="str">
        <f t="shared" si="94"/>
        <v/>
      </c>
      <c r="GA41" s="149" t="str">
        <f t="shared" si="94"/>
        <v/>
      </c>
      <c r="GB41" s="149" t="str">
        <f t="shared" si="94"/>
        <v/>
      </c>
      <c r="GC41" s="149" t="str">
        <f t="shared" si="94"/>
        <v/>
      </c>
      <c r="GD41" s="149" t="str">
        <f t="shared" si="94"/>
        <v/>
      </c>
      <c r="GE41" s="149" t="str">
        <f t="shared" si="94"/>
        <v/>
      </c>
      <c r="GF41" s="149">
        <f>+IFERROR(IF(DW41=0,DV41/DO41,DV41/DW41),DV41)</f>
        <v>1</v>
      </c>
      <c r="GG41" s="149">
        <f>+IFERROR(IF(EB41=0,EA41/DP41,EA41/EB41),EA41)</f>
        <v>0.95</v>
      </c>
      <c r="GH41" s="149">
        <f>+IFERROR(IF(EG41=0,EF41/DQ41,EF41/EG41),EF41)</f>
        <v>0.98</v>
      </c>
      <c r="GI41" s="149">
        <f>+IFERROR(IF(EL41=0,EK41/DR41,EK41/EL41),EK41)</f>
        <v>0.98</v>
      </c>
      <c r="GJ41" s="149">
        <f>+IFERROR(IF(EQ41=0,EP41/DS41,EP41/EQ41),EP41)</f>
        <v>0.98</v>
      </c>
      <c r="GK41" s="149">
        <f>+IF(FA41=0,EZ41,EZ41/FA41)</f>
        <v>0.97666666666666668</v>
      </c>
      <c r="GL41" s="149">
        <f t="shared" ref="GL41:GQ42" si="96">+IF($A41=52,1,IFERROR(IF(OR($DG41="Constante",$DG41="Creciente"),IFERROR(IF(VLOOKUP($A41,bd,MATCH(GL$3,bdfila,0),0)="",0,VLOOKUP($A41,bd,MATCH(GL$3,bdfila,0),0))/(IF(VLOOKUP($A41,bd,MATCH(GL$2,bdfila,0),0)="",0,VLOOKUP($A41,bd,MATCH(GL$2,bdfila,0),0))),IF(VLOOKUP($A41,bd,MATCH(GL$3,bdfila,0),0)="",0,VLOOKUP($A41,bd,MATCH(GL$3,bdfila,0),0))/DI41),IF(VLOOKUP($A41,bd,MATCH(GL$3,bdfila,0),0)="",0,VLOOKUP($A41,bd,MATCH(GL$3,bdfila,0),0))/$DH41/IF($X41="Constante",1,1)),IF(VLOOKUP($A41,bd,MATCH(GL$3,bdfila,0),0)="",0,VLOOKUP($A41,bd,MATCH(GL$3,bdfila,0),0))/$DH41))*100</f>
        <v>100</v>
      </c>
      <c r="GM41" s="149">
        <f t="shared" si="96"/>
        <v>95</v>
      </c>
      <c r="GN41" s="149">
        <f t="shared" si="96"/>
        <v>98</v>
      </c>
      <c r="GO41" s="149">
        <f t="shared" si="96"/>
        <v>98</v>
      </c>
      <c r="GP41" s="149">
        <f t="shared" si="96"/>
        <v>98</v>
      </c>
      <c r="GQ41" s="149">
        <f t="shared" si="96"/>
        <v>97</v>
      </c>
      <c r="GR41" s="153">
        <f t="shared" si="83"/>
        <v>97.666666666666671</v>
      </c>
      <c r="GS41" s="149">
        <f>+IF(OR($A41=52,$A41=124),1,IFERROR(IF($X41="Creciente",IF($AB41="Número",SUM(GL41)/SUM(DO41)*($AX41-$AW41),SUM(GL41)/SUM(DO41))*($AX41-$AW41),IF(AND($DG41="Constante",$AB41="Porcentaje"),AVERAGEIF(GL41,"&lt;&gt;0")/AVERAGEIF(DO41,"&lt;&gt;0")*100,SUM(GL41)/SUM(DO41)*$DU41)),"No Programó"))</f>
        <v>102.04081632653062</v>
      </c>
      <c r="GT41" s="149">
        <f>+IF(OR($A41=52,$A41=124),1,IFERROR(IF($X41="Creciente",IF($AB41="Número",SUM($GL41:GM41)/SUM($DO41:DP41)*($AX41-$AW41),SUM($GL41:GM41)/SUM($DO41:DP41))*($AX41-$AW41),IF($DG41="Creciente",GM41*GM41/GM41,IF(AND($DG41="Constante",$AB41="Porcentaje"),AVERAGEIF($GL41:GM41,"&lt;&gt;0")/AVERAGEIF($DO41:DP41,"&lt;&gt;0")*100,SUM($GL41:GM41)/SUM($DO41:DP41)*$DU41))),GS41))</f>
        <v>99.489795918367349</v>
      </c>
      <c r="GU41" s="149">
        <f>+IF(OR($A41=52,$A41=124),1,IFERROR(IF($X41="Creciente",IF($AB41="Número",SUM($GL41:GN41)/SUM($DO41:DQ41)*($AX41-$AW41),SUM($GL41:GN41)/SUM($DO41:DQ41))*($AX41-$AW41),IF($DG41="Creciente",GN41*GN41/GN41,IF(AND($DG41="Constante",$AB41="Porcentaje"),AVERAGEIF($GL41:GN41,"&lt;&gt;0")/AVERAGEIF($DO41:DQ41,"&lt;&gt;0")*100,SUM($GL41:GN41)/SUM($DO41:DQ41)*$DU41))),GT41))</f>
        <v>99.659863945578238</v>
      </c>
      <c r="GV41" s="149">
        <f>+IF(OR($A41=52,$A41=124),1,IFERROR(IF($X41="Creciente",IF($AB41="Número",SUM($GL41:GO41)/SUM($DO41:DR41)*($AX41-$AW41),SUM($GL41:GO41)/SUM($DO41:DR41))*($AX41-$AW41),IF($DG41="Creciente",GO41*GO41/GO41,IF(AND($DG41="Constante",$AB41="Porcentaje"),AVERAGEIF($GL41:GO41,"&lt;&gt;0")/AVERAGEIF($DO41:DR41,"&lt;&gt;0")*100,SUM($GL41:GO41)/SUM($DO41:DR41)*$DU41))),GU41))</f>
        <v>99.744897959183675</v>
      </c>
      <c r="GW41" s="149">
        <f>+IF(OR($A41=52,$A41=124),1,IFERROR(IF($X41="Creciente",IF($AB41="Número",SUM($GL41:GP41)/SUM($DO41:DS41)*($AX41-$AW41),SUM($GL41:GP41)/SUM($DO41:DS41))*($AX41-$AW41),IF($DG41="Creciente",GP41*GP41/GP41,IF(AND($DG41="Constante",$AB41="Porcentaje"),AVERAGEIF($GL41:GP41,"&lt;&gt;0")/AVERAGEIF($DO41:DS41,"&lt;&gt;0")*100,SUM($GL41:GP41)/SUM($DO41:DS41)*$DU41))),GV41))</f>
        <v>99.795918367346943</v>
      </c>
      <c r="GX41" s="149">
        <f>+IF(OR($A41=52,$A41=124),1,IFERROR(IF($X41="Creciente",IF($AB41="Número",SUM($GL41:GQ41)/SUM($DO41:DT41)*($AX41-$AW41),SUM($GL41:GQ41)/SUM($DO41:DT41))*($AX41-$AW41),IF($DG41="Creciente",GQ41*GQ41/GQ41,IF(AND($DG41="Constante",$AB41="Porcentaje"),AVERAGEIF($GL41:GQ41,"&lt;&gt;0")/AVERAGEIF($DO41:DT41,"&lt;&gt;0")*100,SUM($GL41:GQ41)/SUM($DO41:DT41)*$DU41))),GW41))</f>
        <v>99.659863945578238</v>
      </c>
      <c r="GY41" s="149" t="str">
        <f t="shared" ref="GY41:HB42" si="97">+DC41</f>
        <v>Mejorar el índice de satisfacción de  las entidades distritales frente a los servicios prestados por el Archivo de Bogotá</v>
      </c>
      <c r="GZ41" s="149" t="str">
        <f t="shared" si="97"/>
        <v>Aplicar la herramienta para medir el grado de satisfacción de las entidades distritales.</v>
      </c>
      <c r="HA41" s="149" t="str">
        <f t="shared" si="97"/>
        <v>Identificar el grado de satisfacción de las entidades frente a los servicios prestados por la Dirección Distrital de Archivo, con el fin de reunir informacion que permita una adecuada toma de desiciones para un excelente servicio a las entidades</v>
      </c>
      <c r="HB41" s="149" t="str">
        <f t="shared" si="97"/>
        <v>Informe mensual de resultados de la medición de la encuesta de satisfacción a las entidades distritales.</v>
      </c>
      <c r="HC41" s="149" t="str">
        <f t="shared" si="85"/>
        <v>Cumple</v>
      </c>
      <c r="HD41" s="149" t="str">
        <f t="shared" si="85"/>
        <v>Cumplido</v>
      </c>
      <c r="HE41" s="149" t="str">
        <f t="shared" si="85"/>
        <v>Adecuado</v>
      </c>
      <c r="HF41" s="149" t="str">
        <f t="shared" si="85"/>
        <v>Coherente</v>
      </c>
      <c r="HG41" s="149" t="str">
        <f t="shared" si="85"/>
        <v>Concuerda</v>
      </c>
      <c r="HH41" s="149" t="str">
        <f t="shared" si="85"/>
        <v>No aplica</v>
      </c>
      <c r="HI41" s="149" t="str">
        <f t="shared" si="85"/>
        <v>Relación directa</v>
      </c>
      <c r="HJ41" s="149" t="str">
        <f t="shared" si="85"/>
        <v>Adecuado</v>
      </c>
      <c r="HK41" s="149" t="str">
        <f t="shared" si="85"/>
        <v>Oportuna</v>
      </c>
      <c r="HL41" s="149" t="str">
        <f t="shared" si="85"/>
        <v>No aplica</v>
      </c>
      <c r="HM41" s="149" t="str">
        <f t="shared" si="86"/>
        <v>Bibiana Rodríguez González</v>
      </c>
      <c r="HN41" s="149" t="str">
        <f t="shared" si="86"/>
        <v>No aplica</v>
      </c>
      <c r="HO41" s="149" t="str">
        <f t="shared" si="86"/>
        <v>Satisfactorio</v>
      </c>
      <c r="HP41" s="149" t="str">
        <f t="shared" si="86"/>
        <v>Adecuado</v>
      </c>
      <c r="HQ41" s="149" t="str">
        <f t="shared" si="86"/>
        <v>Coherente</v>
      </c>
      <c r="HR41" s="149" t="str">
        <f t="shared" si="86"/>
        <v>Concuerda</v>
      </c>
      <c r="HS41" s="149" t="str">
        <f t="shared" si="86"/>
        <v>No aplica</v>
      </c>
      <c r="HT41" s="149" t="str">
        <f t="shared" si="86"/>
        <v>Relación directa</v>
      </c>
      <c r="HU41" s="149" t="str">
        <f t="shared" si="86"/>
        <v>Adecuado</v>
      </c>
      <c r="HV41" s="149" t="str">
        <f t="shared" si="86"/>
        <v>Oportuna</v>
      </c>
      <c r="HW41" s="149" t="str">
        <f t="shared" si="86"/>
        <v>No aplica</v>
      </c>
      <c r="HX41" s="149" t="str">
        <f t="shared" si="86"/>
        <v>Bibiana Rodríguez González</v>
      </c>
    </row>
    <row r="42" spans="1:241" s="149" customFormat="1" x14ac:dyDescent="0.3">
      <c r="A42" s="145">
        <v>21</v>
      </c>
      <c r="B42" s="146" t="s">
        <v>1144</v>
      </c>
      <c r="C42" s="146" t="s">
        <v>1144</v>
      </c>
      <c r="D42" s="146" t="s">
        <v>1144</v>
      </c>
      <c r="E42" s="146" t="s">
        <v>1144</v>
      </c>
      <c r="F42" s="136" t="s">
        <v>1499</v>
      </c>
      <c r="G42" s="146" t="s">
        <v>1144</v>
      </c>
      <c r="H42" s="146" t="s">
        <v>1144</v>
      </c>
      <c r="I42" s="149" t="s">
        <v>1146</v>
      </c>
      <c r="J42" s="222" t="s">
        <v>179</v>
      </c>
      <c r="K42" s="222" t="s">
        <v>180</v>
      </c>
      <c r="L42" s="222" t="s">
        <v>181</v>
      </c>
      <c r="M42" s="222" t="s">
        <v>1413</v>
      </c>
      <c r="N42" s="222" t="s">
        <v>1414</v>
      </c>
      <c r="O42" s="222" t="s">
        <v>1415</v>
      </c>
      <c r="P42" s="148" t="s">
        <v>1499</v>
      </c>
      <c r="Q42" s="222" t="s">
        <v>1509</v>
      </c>
      <c r="R42" s="222" t="s">
        <v>1510</v>
      </c>
      <c r="S42" s="222" t="s">
        <v>1511</v>
      </c>
      <c r="T42" s="222" t="s">
        <v>1512</v>
      </c>
      <c r="U42" s="154" t="s">
        <v>1513</v>
      </c>
      <c r="V42" s="222" t="s">
        <v>1514</v>
      </c>
      <c r="W42" s="148" t="s">
        <v>601</v>
      </c>
      <c r="X42" s="222" t="s">
        <v>601</v>
      </c>
      <c r="Y42" s="222" t="s">
        <v>1515</v>
      </c>
      <c r="Z42" s="222" t="s">
        <v>1516</v>
      </c>
      <c r="AA42" s="222" t="s">
        <v>1517</v>
      </c>
      <c r="AB42" s="222" t="s">
        <v>602</v>
      </c>
      <c r="AC42" s="222" t="s">
        <v>1159</v>
      </c>
      <c r="AD42" s="222" t="s">
        <v>1160</v>
      </c>
      <c r="AE42" s="222">
        <v>2016</v>
      </c>
      <c r="AF42" s="222">
        <v>0</v>
      </c>
      <c r="AG42" s="222">
        <v>2016</v>
      </c>
      <c r="AH42" s="222">
        <v>0</v>
      </c>
      <c r="AI42" s="222">
        <v>0.91</v>
      </c>
      <c r="AJ42" s="222">
        <v>0.98</v>
      </c>
      <c r="AK42" s="223">
        <v>0.98</v>
      </c>
      <c r="AL42" s="221">
        <v>0.98</v>
      </c>
      <c r="AM42" s="222">
        <v>0</v>
      </c>
      <c r="AN42" s="146" t="s">
        <v>1144</v>
      </c>
      <c r="AO42" s="146" t="s">
        <v>1144</v>
      </c>
      <c r="AP42" s="146" t="s">
        <v>1144</v>
      </c>
      <c r="AQ42" s="146" t="s">
        <v>1144</v>
      </c>
      <c r="AR42" s="146" t="s">
        <v>1144</v>
      </c>
      <c r="AS42" s="150" t="s">
        <v>1144</v>
      </c>
      <c r="AT42" s="232">
        <v>0</v>
      </c>
      <c r="AU42" s="232">
        <v>91</v>
      </c>
      <c r="AV42" s="232">
        <v>98</v>
      </c>
      <c r="AW42" s="232">
        <v>98</v>
      </c>
      <c r="AX42" s="232">
        <v>98</v>
      </c>
      <c r="AY42" s="232">
        <v>0</v>
      </c>
      <c r="BD42" s="149">
        <v>0</v>
      </c>
      <c r="BJ42" s="149">
        <v>0</v>
      </c>
      <c r="BK42" s="146" t="s">
        <v>1144</v>
      </c>
      <c r="BL42" s="146" t="s">
        <v>1144</v>
      </c>
      <c r="BM42" s="146" t="s">
        <v>1144</v>
      </c>
      <c r="BN42" s="146" t="s">
        <v>1144</v>
      </c>
      <c r="BO42" s="146" t="s">
        <v>1144</v>
      </c>
      <c r="BP42" s="146" t="s">
        <v>1144</v>
      </c>
      <c r="BQ42" s="146" t="s">
        <v>1144</v>
      </c>
      <c r="BR42" s="146" t="s">
        <v>1144</v>
      </c>
      <c r="BS42" s="146" t="s">
        <v>1144</v>
      </c>
      <c r="BT42" s="146" t="s">
        <v>1144</v>
      </c>
      <c r="BU42" s="146" t="s">
        <v>1144</v>
      </c>
      <c r="BV42" s="146" t="s">
        <v>1144</v>
      </c>
      <c r="BW42" s="224" t="s">
        <v>1144</v>
      </c>
      <c r="BX42" s="224" t="s">
        <v>1144</v>
      </c>
      <c r="BY42" s="224" t="s">
        <v>1144</v>
      </c>
      <c r="BZ42" s="224">
        <v>1</v>
      </c>
      <c r="CA42" s="224" t="s">
        <v>1144</v>
      </c>
      <c r="CB42" s="224" t="s">
        <v>1144</v>
      </c>
      <c r="CC42" s="224" t="s">
        <v>1144</v>
      </c>
      <c r="CD42" s="224">
        <v>1</v>
      </c>
      <c r="CE42" s="224" t="s">
        <v>261</v>
      </c>
      <c r="CF42" s="224" t="s">
        <v>1144</v>
      </c>
      <c r="CG42" s="224" t="s">
        <v>1144</v>
      </c>
      <c r="CH42" s="224" t="s">
        <v>1144</v>
      </c>
      <c r="CI42" s="224" t="s">
        <v>1144</v>
      </c>
      <c r="CJ42" s="224" t="s">
        <v>1144</v>
      </c>
      <c r="CK42" s="224" t="s">
        <v>1144</v>
      </c>
      <c r="CL42" s="224" t="s">
        <v>1144</v>
      </c>
      <c r="CM42" s="224" t="s">
        <v>1144</v>
      </c>
      <c r="CN42" s="224" t="s">
        <v>1144</v>
      </c>
      <c r="CO42" s="224" t="s">
        <v>1144</v>
      </c>
      <c r="CP42" s="224" t="s">
        <v>1144</v>
      </c>
      <c r="CQ42" s="224" t="s">
        <v>1144</v>
      </c>
      <c r="CR42" s="224" t="s">
        <v>1144</v>
      </c>
      <c r="CS42" s="224" t="s">
        <v>1144</v>
      </c>
      <c r="CT42" s="224" t="s">
        <v>1144</v>
      </c>
      <c r="CU42" s="224" t="s">
        <v>1144</v>
      </c>
      <c r="CV42" s="224" t="s">
        <v>1144</v>
      </c>
      <c r="CW42" s="224" t="s">
        <v>1144</v>
      </c>
      <c r="CX42" s="224" t="s">
        <v>1144</v>
      </c>
      <c r="CY42" s="224" t="s">
        <v>1144</v>
      </c>
      <c r="CZ42" s="224" t="s">
        <v>1144</v>
      </c>
      <c r="DA42" s="219" t="s">
        <v>1144</v>
      </c>
      <c r="DB42" s="152" t="str">
        <f>IF(BW42="No Aplica","",$BW$5)&amp;IF(BX42="No Aplica","",$BX$5)&amp;IF(BY42="No Aplica","",$BY$5)&amp;IF(BZ42="No Aplica","",$BZ$5)&amp;IF(CA42="No Aplica","",$CA$5)&amp;IF(CB42="No Aplica","",CB42&amp;" ")&amp;IF(CC42="No Aplica","",CC42&amp;", ")&amp;IF(CD42="No Aplica","",$CD$5)&amp;IF(CE42="No Aplica","",$CE$5&amp;CE42&amp;", ")&amp;IF(CF42="No Aplica","",$CF$5)&amp;IF(CG42="No Aplica","",$CG$5)&amp;IF(CH42="No Aplica","",$CH$5)&amp;IF(CI42="No Aplica","",$CI$5)&amp;IF(CJ42="No Aplica","",$CJ$5)&amp;IF(CK42="No Aplica","",$CK$5)&amp;IF(CL42="No Aplica","",$CL$5)&amp;IF(CM42="No Aplica","",$CM$5)&amp;IF(CN42="No Aplica","",$CN$5)&amp;IF(CO42="No Aplica","",$CO$5)&amp;IF(CP42="No Aplica","",$CP$5)&amp;IF(CQ42="No Aplica","",$CQ$5)&amp;IF(CR42="No Aplica","",$CR$5)&amp;IF(CS42="No Aplica","",$CS$5)&amp;IF(CT42="No Aplica","",$CT$5)&amp;IF(CU42="No Aplica","",$CU$5)&amp;IF(CV42="No Aplica","",$CV$5)&amp;IF(CW42="No Aplica","",CW42&amp;", ")&amp;IF(CX42="No Aplica","",$CX$5&amp;CX42&amp;", ")&amp;IF(CY42="No Aplica","",$CY$5)&amp;IF(CZ42="No Aplica","",$CZ$5)&amp;IF(DA42="No Aplica","",$DA$5)</f>
        <v xml:space="preserve">Plan de Acción, SGC, PROCESO: Gestión de la Función Archivística y del patrimonio documental del Distrito Capital, </v>
      </c>
      <c r="DC42" s="149" t="str">
        <f t="shared" si="88"/>
        <v>Mejorar el índice de satisfacción de la ciudadanía frente a los servicios prestados por el Archivo de Bogotá</v>
      </c>
      <c r="DD42" s="149" t="str">
        <f t="shared" si="88"/>
        <v>Aplicar la herramienta para medir el grado de satisfacción de la ciudadanía.</v>
      </c>
      <c r="DE42" s="149" t="str">
        <f t="shared" si="88"/>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
      <c r="DF42" s="149" t="str">
        <f t="shared" si="88"/>
        <v>Informe mensual de resultados de la medición de la encuesta de satisfacción a la ciudadania.</v>
      </c>
      <c r="DG42" s="149" t="str">
        <f t="shared" si="88"/>
        <v>Constante</v>
      </c>
      <c r="DH42" s="149" t="str">
        <f>+IF(VLOOKUP($A42,consolidado,MATCH(DH$5,consolidadofila,0),0)=0,DU42,VLOOKUP($A42,consolidado,MATCH(DH$5,consolidadofila,0),0))</f>
        <v/>
      </c>
      <c r="DI42" s="149">
        <f t="shared" si="95"/>
        <v>98</v>
      </c>
      <c r="DJ42" s="149">
        <f t="shared" si="95"/>
        <v>98</v>
      </c>
      <c r="DK42" s="149">
        <f t="shared" si="95"/>
        <v>98</v>
      </c>
      <c r="DL42" s="149">
        <f t="shared" si="95"/>
        <v>98</v>
      </c>
      <c r="DM42" s="149">
        <f t="shared" si="95"/>
        <v>98</v>
      </c>
      <c r="DN42" s="149">
        <f t="shared" si="36"/>
        <v>98</v>
      </c>
      <c r="DO42" s="149">
        <f t="shared" si="87"/>
        <v>98</v>
      </c>
      <c r="DP42" s="149">
        <f t="shared" si="87"/>
        <v>98</v>
      </c>
      <c r="DQ42" s="149">
        <f t="shared" si="87"/>
        <v>98</v>
      </c>
      <c r="DR42" s="149">
        <f t="shared" si="87"/>
        <v>98</v>
      </c>
      <c r="DS42" s="149">
        <f t="shared" si="87"/>
        <v>98</v>
      </c>
      <c r="DT42" s="149">
        <f t="shared" si="87"/>
        <v>98</v>
      </c>
      <c r="DU42" s="149">
        <f t="shared" si="89"/>
        <v>98</v>
      </c>
      <c r="DV42" s="149">
        <f t="shared" si="89"/>
        <v>98</v>
      </c>
      <c r="DW42" s="149">
        <f t="shared" si="89"/>
        <v>100</v>
      </c>
      <c r="DX42" s="149" t="str">
        <f t="shared" si="89"/>
        <v xml:space="preserve">Producto: 
 En el mes de enero se atendió en Sala de Investigadores a 269 usuarios y se aplicaron encuestas de satisfacción a 63 personas atendidas, las cuales arrojaron que el grado de satisfacción de atención a los ciudadanos para el mes de enero fue del 98%.  
 Gestión:
Se radicó memorando 3-2020-2901 a la Oficina de Tecnologías de la información y las comunicaciones OTIC que contiene las necesidades en materia de elementos informáticos  por parte de la Dirección Distrital de Archivo de Bogotá a fin de facilitar las herramientas para prestar un mejor servicio en la sala de investigadores.  </v>
      </c>
      <c r="DY42" s="149" t="str">
        <f t="shared" si="89"/>
        <v xml:space="preserve">Aunque se alcanzó el grado de satisfacción del 98% los usuarios manifestaron que los equipos de cómputo con los que cuenta la sala de investigadores son lentos y con frecuencia dejan de presentar la información consultada. Por lo anterior se procedió a enviar memorando 3-2020-2901 a la Oficina de Tecnologías de la información y las comunicaciones OTIC el cual contiene las necesidades en materia de elementos informáticos  por parte de la Dirección Distrital de Archivo de Bogotá a fin de facilitar las herramientas para prestar un mejor servicio en la sala de investigadores.   </v>
      </c>
      <c r="DZ42" s="149" t="str">
        <f t="shared" si="89"/>
        <v xml:space="preserve">Durante el mes de enero de 2020 se observó el aumento de consultas de las series: libros de parroquias, Colección Arquidiócesis de Bogotá, así como, de la serie Historias Clínicas de los Hospitales San Juan de Dios y Materno Infantil (Liquidados). </v>
      </c>
      <c r="EA42" s="149">
        <f t="shared" si="89"/>
        <v>95</v>
      </c>
      <c r="EB42" s="149">
        <f t="shared" si="89"/>
        <v>100</v>
      </c>
      <c r="EC42" s="149" t="str">
        <f t="shared" si="89"/>
        <v xml:space="preserve"> En el mes de febrero se atendió en Sala de Investigadores a 386 usuarios y se aplicaron 55  encuestas de satisfacción a personas atendidas, las cuales permitieron evidenciar que el grado de satisfacción de atención a los ciudadanos para el mes de febrero fue del 95%. </v>
      </c>
      <c r="ED42" s="149" t="str">
        <f t="shared" si="89"/>
        <v xml:space="preserve"> El grado de satisfacción bajó tres puntos respecto al mes de enero que estaba en el 98% pasando a 95% para el mes de febrero, situación presentada debido a la necesidad de  mejorar el desempeño de los equipos de cómputo teniendo en cuenta que son lentos y con frecuencia dejan de presentar la información consultada, para ello a finales del mes de enero se envió el memorando de necesidades de elementos informáticos por parte de la Dirección Distrital de Archivo de Bogotá.</v>
      </c>
      <c r="EE42" s="149" t="str">
        <f t="shared" si="90"/>
        <v xml:space="preserve">Durante el mes de febrero de 2020 se incrementó en 100 unidades el número de usuarios atendidos en la sala de investigación, respecto al mes de enero de 2020, lo cual indica que la ciudadanía cada vez más requiere de nuestros servicios y así mismo amplian su conocimiento frente a la ciudad de Bogotá.  </v>
      </c>
      <c r="EF42" s="149">
        <f t="shared" si="90"/>
        <v>97</v>
      </c>
      <c r="EG42" s="149">
        <f t="shared" si="90"/>
        <v>100</v>
      </c>
      <c r="EH42" s="149" t="str">
        <f t="shared" si="90"/>
        <v xml:space="preserve"> En el mes de marzo se atendió en Sala de Investigadores a 203 personas y se aplicaron encuestas de satisfacción a 34 personas atendidas. Lo que permitió evidenciar que el grado de satisfacción de atención a los ciudadanos para el mes de Marzo fue del 97%. </v>
      </c>
      <c r="EI42" s="149" t="str">
        <f t="shared" si="90"/>
        <v>Mediante memorando 3-2020-9969 se informó a la Oficina Asesora de Planeación que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2020”,la atención al público en la sala de investigadores fue suspendida desde el día 20 de Marzo, por lo cual la información reportada corresponde al periodo entre el 1 y el   19 de marzo, toda vez que luego de esta fecha  la Sala de investigadores tuvo que cerrar la atención a la ciudadanía. Lo anterior afectará el resultado del indicador grado de satisfacción de la ciudadanía frente a los servicios prestados por el Archivo Distrital para los meses de marzo, abril, mayo y junio.</v>
      </c>
      <c r="EJ42" s="149" t="str">
        <f t="shared" si="90"/>
        <v xml:space="preserve">Durante el marzo 2020, pese la presente contingencia se incrementó en 2 puntos del grado de satisfacción  de usuarios atendidos en la sala de investigación,lo cual indica que la ciudadanía cada vez está más conforme con los servicios de conocimiento y amabilidad que presenta el Archivo de Bogotá.  </v>
      </c>
      <c r="EK42" s="149">
        <f t="shared" si="90"/>
        <v>0</v>
      </c>
      <c r="EL42" s="149">
        <f t="shared" si="90"/>
        <v>100</v>
      </c>
      <c r="EM42" s="149" t="str">
        <f t="shared" si="90"/>
        <v>La Sala de investigadores se encuentra fuera de servicio,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v>
      </c>
      <c r="EN42" s="149" t="str">
        <f t="shared" si="90"/>
        <v>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v>
      </c>
      <c r="EO42" s="149" t="str">
        <f t="shared" si="91"/>
        <v>No Aplica</v>
      </c>
      <c r="EP42" s="149">
        <f t="shared" si="91"/>
        <v>0</v>
      </c>
      <c r="EQ42" s="149">
        <f t="shared" si="91"/>
        <v>100</v>
      </c>
      <c r="ER42" s="149" t="str">
        <f t="shared" si="91"/>
        <v>La Sala de investigadores se encuentra fuera de servicio,teniendo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v>
      </c>
      <c r="ES42" s="149" t="str">
        <f t="shared" si="91"/>
        <v>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v>
      </c>
      <c r="ET42" s="149" t="str">
        <f t="shared" si="91"/>
        <v>No Aplica</v>
      </c>
      <c r="EU42" s="149">
        <f t="shared" si="78"/>
        <v>0</v>
      </c>
      <c r="EV42" s="149">
        <f t="shared" si="78"/>
        <v>100</v>
      </c>
      <c r="EW42" s="149" t="str">
        <f t="shared" si="78"/>
        <v>La Sala de investigadores se encuentra fuera de servicio, teniendo en cuenta el Decreto no. 126 de (10 de mayo de 2020) “Por medio del cual se establecen medidas transitorias para el manejo del riesgo derivado de la pandemia por Coronavirus COVID-19 durante el estado de calamidad pública declarado en el distrito capital y se toman otras determinaciones”.</v>
      </c>
      <c r="EX42" s="149" t="str">
        <f t="shared" si="78"/>
        <v>La Sala de Investigadores tuvo que cerrar la atención al público a la ciudadanía debido a la situación de confinamiento ocasionada por la emergencia sanitaria a causa de la pandemia del COVID 19 y dando cumplimiento a lo establecido en el Decreto presidencial 457 del 22 de marzo de 2020 “Por el cual se imparten instrucciones en virtud de la emergencia sanitaria generada por la pandemia del Coronavirus Covid-19 y el mantenimiento del orden público” y el Decreto Distrital 092 del 24 de marzo de 2020 “Por el cual se imparten las ordenes e instrucciones necesarias para la debida ejecución de la medida de aislamiento obligatorio ordena mediante Decreto 457 del 22 de marzo de 2020”, afectando así el resultado del indicador para los meses de marzo, abril, mayo y junio.  Mediante memorando 3-2020-9969 se informó a la Oficina Asesora de Planeación la situación anteriormente expuesta, razón por la cual no fue viable cumplir con el indicador "grado de satisfacción de la ciudadanía frente a los servicios prestados por el Archivo Distrital".</v>
      </c>
      <c r="EY42" s="149" t="str">
        <f t="shared" si="78"/>
        <v>No Aplica</v>
      </c>
      <c r="EZ42" s="149">
        <f t="shared" si="91"/>
        <v>290</v>
      </c>
      <c r="FA42" s="149">
        <f t="shared" si="91"/>
        <v>600</v>
      </c>
      <c r="FB42" s="149" t="str">
        <f t="shared" si="91"/>
        <v/>
      </c>
      <c r="FC42" s="149" t="str">
        <f t="shared" si="91"/>
        <v/>
      </c>
      <c r="FD42" s="149" t="str">
        <f t="shared" si="92"/>
        <v/>
      </c>
      <c r="FE42" s="149" t="str">
        <f t="shared" si="92"/>
        <v/>
      </c>
      <c r="FF42" s="149" t="str">
        <f t="shared" si="92"/>
        <v/>
      </c>
      <c r="FG42" s="149" t="str">
        <f t="shared" si="92"/>
        <v/>
      </c>
      <c r="FH42" s="149" t="str">
        <f t="shared" si="92"/>
        <v/>
      </c>
      <c r="FI42" s="149" t="str">
        <f t="shared" si="92"/>
        <v/>
      </c>
      <c r="FJ42" s="149" t="str">
        <f t="shared" si="92"/>
        <v/>
      </c>
      <c r="FK42" s="149" t="str">
        <f t="shared" si="92"/>
        <v/>
      </c>
      <c r="FL42" s="149" t="str">
        <f t="shared" si="92"/>
        <v/>
      </c>
      <c r="FM42" s="149" t="str">
        <f t="shared" si="92"/>
        <v/>
      </c>
      <c r="FN42" s="149" t="str">
        <f t="shared" si="93"/>
        <v/>
      </c>
      <c r="FO42" s="149" t="str">
        <f t="shared" si="93"/>
        <v/>
      </c>
      <c r="FP42" s="149" t="str">
        <f t="shared" si="93"/>
        <v/>
      </c>
      <c r="FQ42" s="149" t="str">
        <f t="shared" si="93"/>
        <v/>
      </c>
      <c r="FR42" s="149" t="str">
        <f t="shared" si="93"/>
        <v/>
      </c>
      <c r="FS42" s="149" t="str">
        <f t="shared" si="93"/>
        <v/>
      </c>
      <c r="FT42" s="149" t="str">
        <f t="shared" si="93"/>
        <v/>
      </c>
      <c r="FU42" s="149" t="str">
        <f t="shared" si="93"/>
        <v/>
      </c>
      <c r="FV42" s="149" t="str">
        <f t="shared" si="93"/>
        <v/>
      </c>
      <c r="FW42" s="149" t="str">
        <f t="shared" si="93"/>
        <v/>
      </c>
      <c r="FX42" s="149" t="str">
        <f t="shared" si="94"/>
        <v/>
      </c>
      <c r="FY42" s="149" t="str">
        <f t="shared" si="94"/>
        <v/>
      </c>
      <c r="FZ42" s="149" t="str">
        <f t="shared" si="94"/>
        <v/>
      </c>
      <c r="GA42" s="149" t="str">
        <f t="shared" si="94"/>
        <v/>
      </c>
      <c r="GB42" s="149" t="str">
        <f t="shared" si="94"/>
        <v/>
      </c>
      <c r="GC42" s="149" t="str">
        <f t="shared" si="94"/>
        <v/>
      </c>
      <c r="GD42" s="149" t="str">
        <f t="shared" si="94"/>
        <v/>
      </c>
      <c r="GE42" s="149" t="str">
        <f t="shared" si="94"/>
        <v/>
      </c>
      <c r="GF42" s="149">
        <f>+IFERROR(IF(DW42=0,DV42/DO42,DV42/DW42),DV42)</f>
        <v>0.98</v>
      </c>
      <c r="GG42" s="149">
        <f>+IFERROR(IF(EB42=0,EA42/DP42,EA42/EB42),EA42)</f>
        <v>0.95</v>
      </c>
      <c r="GH42" s="149">
        <f>+IFERROR(IF(EG42=0,EF42/DQ42,EF42/EG42),EF42)</f>
        <v>0.97</v>
      </c>
      <c r="GI42" s="149">
        <f>+IFERROR(IF(EL42=0,EK42/DR42,EK42/EL42),EK42)</f>
        <v>0</v>
      </c>
      <c r="GJ42" s="149">
        <f>+IFERROR(IF(EQ42=0,EP42/DS42,EP42/EQ42),EP42)</f>
        <v>0</v>
      </c>
      <c r="GK42" s="149">
        <f>+IF(FA42=0,EZ42,EZ42/FA42)</f>
        <v>0.48333333333333334</v>
      </c>
      <c r="GL42" s="149">
        <f t="shared" si="96"/>
        <v>98</v>
      </c>
      <c r="GM42" s="149">
        <f t="shared" si="96"/>
        <v>95</v>
      </c>
      <c r="GN42" s="149">
        <f t="shared" si="96"/>
        <v>97</v>
      </c>
      <c r="GO42" s="149">
        <f t="shared" si="96"/>
        <v>0</v>
      </c>
      <c r="GP42" s="149">
        <f t="shared" si="96"/>
        <v>0</v>
      </c>
      <c r="GQ42" s="149">
        <f t="shared" si="96"/>
        <v>0</v>
      </c>
      <c r="GR42" s="153">
        <f>+IF(DG42="Suma",SUM(GL42:GQ42),AVERAGEIF(GL42:GQ42,"&lt;&gt;0"))</f>
        <v>96.666666666666671</v>
      </c>
      <c r="GS42" s="149">
        <f>+IF(OR($A42=52,$A42=124),1,IFERROR(IF($X42="Creciente",IF($AB42="Número",SUM(GL42)/SUM(DO42)*($AX42-$AW42),SUM(GL42)/SUM(DO42))*($AX42-$AW42),IF(AND($DG42="Constante",$AB42="Porcentaje"),AVERAGEIF(GL42,"&lt;&gt;0")/AVERAGEIF(DO42,"&lt;&gt;0")*100,SUM(GL42)/SUM(DO42)*$DU42)),"No Programó"))</f>
        <v>100</v>
      </c>
      <c r="GT42" s="149">
        <f>+IF(OR($A42=52,$A42=124),1,IFERROR(IF($X42="Creciente",IF($AB42="Número",SUM($GL42:GM42)/SUM($DO42:DP42)*($AX42-$AW42),SUM($GL42:GM42)/SUM($DO42:DP42))*($AX42-$AW42),IF($DG42="Creciente",GM42*GM42/GM42,IF(AND($DG42="Constante",$AB42="Porcentaje"),AVERAGEIF($GL42:GM42,"&lt;&gt;0")/AVERAGEIF($DO42:DP42,"&lt;&gt;0")*100,SUM($GL42:GM42)/SUM($DO42:DP42)*$DU42))),GS42))</f>
        <v>98.469387755102048</v>
      </c>
      <c r="GU42" s="149">
        <f>+IF(OR($A42=52,$A42=124),1,IFERROR(IF($X42="Creciente",IF($AB42="Número",SUM($GL42:GN42)/SUM($DO42:DQ42)*($AX42-$AW42),SUM($GL42:GN42)/SUM($DO42:DQ42))*($AX42-$AW42),IF($DG42="Creciente",GN42*GN42/GN42,IF(AND($DG42="Constante",$AB42="Porcentaje"),AVERAGEIF($GL42:GN42,"&lt;&gt;0")/AVERAGEIF($DO42:DQ42,"&lt;&gt;0")*100,SUM($GL42:GN42)/SUM($DO42:DQ42)*$DU42))),GT42))</f>
        <v>98.639455782312936</v>
      </c>
      <c r="GV42" s="149">
        <f>+IF(OR($A42=52,$A42=124),1,IFERROR(IF($X42="Creciente",IF($AB42="Número",SUM($GL42:GO42)/SUM($DO42:DR42)*($AX42-$AW42),SUM($GL42:GO42)/SUM($DO42:DR42))*($AX42-$AW42),IF($DG42="Creciente",GO42*GO42/GO42,IF(AND($DG42="Constante",$AB42="Porcentaje"),AVERAGEIF($GL42:GO42,"&lt;&gt;0")/AVERAGEIF($DO42:DR42,"&lt;&gt;0")*100,SUM($GL42:GO42)/SUM($DO42:DR42)*$DU42))),GU42))</f>
        <v>98.639455782312936</v>
      </c>
      <c r="GW42" s="149">
        <f>+IF(OR($A42=52,$A42=124),1,IFERROR(IF($X42="Creciente",IF($AB42="Número",SUM($GL42:GP42)/SUM($DO42:DS42)*($AX42-$AW42),SUM($GL42:GP42)/SUM($DO42:DS42))*($AX42-$AW42),IF($DG42="Creciente",GP42*GP42/GP42,IF(AND($DG42="Constante",$AB42="Porcentaje"),AVERAGEIF($GL42:GP42,"&lt;&gt;0")/AVERAGEIF($DO42:DS42,"&lt;&gt;0")*100,SUM($GL42:GP42)/SUM($DO42:DS42)*$DU42))),GV42))</f>
        <v>98.639455782312936</v>
      </c>
      <c r="GX42" s="149">
        <f>+IF(OR($A42=52,$A42=124),1,IFERROR(IF($X42="Creciente",IF($AB42="Número",SUM($GL42:GQ42)/SUM($DO42:DT42)*($AX42-$AW42),SUM($GL42:GQ42)/SUM($DO42:DT42))*($AX42-$AW42),IF($DG42="Creciente",GQ42*GQ42/GQ42,IF(AND($DG42="Constante",$AB42="Porcentaje"),AVERAGEIF($GL42:GQ42,"&lt;&gt;0")/AVERAGEIF($DO42:DT42,"&lt;&gt;0")*100,SUM($GL42:GQ42)/SUM($DO42:DT42)*$DU42))),GW42))</f>
        <v>98.639455782312936</v>
      </c>
      <c r="GY42" s="149" t="str">
        <f t="shared" si="97"/>
        <v>Mejorar el índice de satisfacción de la ciudadanía frente a los servicios prestados por el Archivo de Bogotá</v>
      </c>
      <c r="GZ42" s="149" t="str">
        <f t="shared" si="97"/>
        <v>Aplicar la herramienta para medir el grado de satisfacción de la ciudadanía.</v>
      </c>
      <c r="HA42" s="149" t="str">
        <f t="shared" si="97"/>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
      <c r="HB42" s="149" t="str">
        <f t="shared" si="97"/>
        <v>Informe mensual de resultados de la medición de la encuesta de satisfacción a la ciudadania.</v>
      </c>
      <c r="HC42" s="149" t="str">
        <f t="shared" si="85"/>
        <v>Cumple</v>
      </c>
      <c r="HD42" s="149" t="str">
        <f t="shared" si="85"/>
        <v>Satisfactorio</v>
      </c>
      <c r="HE42" s="149" t="str">
        <f t="shared" si="85"/>
        <v>Adecuado</v>
      </c>
      <c r="HF42" s="149" t="str">
        <f t="shared" si="85"/>
        <v>Coherente</v>
      </c>
      <c r="HG42" s="149" t="str">
        <f t="shared" si="85"/>
        <v>Concuerda</v>
      </c>
      <c r="HH42" s="149" t="str">
        <f t="shared" si="85"/>
        <v>Concuerda</v>
      </c>
      <c r="HI42" s="149" t="str">
        <f t="shared" si="85"/>
        <v>Relación directa</v>
      </c>
      <c r="HJ42" s="149" t="str">
        <f t="shared" si="85"/>
        <v>Adecuado</v>
      </c>
      <c r="HK42" s="149" t="str">
        <f t="shared" si="85"/>
        <v>Oportuna</v>
      </c>
      <c r="HL42" s="149" t="str">
        <f t="shared" si="85"/>
        <v>1. Se evidencia un avance cuantitativo del Indicador del 99% con corte a 31 de mayo 2020, teniendo en cuenta la justificación presentada a la Oficina Asesora de Planeación, mediante memorando con radicado No. 3-2020-9969._x000D_
_x000D_
2. Se solicita revisar la selección de la muestra. Según estimaciones, con 269 usuarios potenciales, con un estándar de margen de error de 5% y un nivel de confianza de 95 % es apropiado, obtener 159 encuestas completadas, y no 63, tal cómo se registra para el mes de enero de 2020. Siendo insuficiente también para los meses de febrero y marzo de 2020. Sin embargo, si no es viable encuestar 159 usuarios, porque implica una alta complejidad recoger y analizar todos esos datos, se puede realizar una elección probabilística o dirigida ya que no depende de la probabilidad sino de las características del objeto de estudio, pero lo anterior debe quedar especificado en la ficha de encuesta.</v>
      </c>
      <c r="HM42" s="149" t="str">
        <f t="shared" si="86"/>
        <v>Bibiana Rodríguez González</v>
      </c>
      <c r="HN42" s="149" t="str">
        <f t="shared" si="86"/>
        <v>Cumple</v>
      </c>
      <c r="HO42" s="149" t="str">
        <f t="shared" si="86"/>
        <v>Satisfactorio</v>
      </c>
      <c r="HP42" s="149" t="str">
        <f t="shared" si="86"/>
        <v>Adecuado</v>
      </c>
      <c r="HQ42" s="149" t="str">
        <f t="shared" si="86"/>
        <v>Coherente</v>
      </c>
      <c r="HR42" s="149" t="str">
        <f t="shared" si="86"/>
        <v>Concuerda</v>
      </c>
      <c r="HS42" s="149" t="str">
        <f t="shared" si="86"/>
        <v>Concuerda</v>
      </c>
      <c r="HT42" s="149" t="str">
        <f t="shared" si="86"/>
        <v>Relación directa</v>
      </c>
      <c r="HU42" s="149" t="str">
        <f t="shared" si="86"/>
        <v>Adecuado</v>
      </c>
      <c r="HV42" s="149" t="str">
        <f t="shared" si="86"/>
        <v>Oportuna</v>
      </c>
      <c r="HW42" s="149" t="str">
        <f t="shared" si="86"/>
        <v>Justificación presentada a la Oficina Asesora de Planeación, mediante memorando con radicado No. 3-2020-9969.</v>
      </c>
      <c r="HX42" s="149" t="str">
        <f t="shared" si="86"/>
        <v>Bibiana Rodríguez González</v>
      </c>
    </row>
    <row r="43" spans="1:241" s="149" customFormat="1" x14ac:dyDescent="0.3">
      <c r="A43" s="301">
        <v>37</v>
      </c>
      <c r="B43" s="302" t="s">
        <v>1144</v>
      </c>
      <c r="C43" s="302" t="s">
        <v>1144</v>
      </c>
      <c r="D43" s="302" t="s">
        <v>1144</v>
      </c>
      <c r="E43" s="302" t="s">
        <v>1144</v>
      </c>
      <c r="F43" s="303" t="s">
        <v>1518</v>
      </c>
      <c r="G43" s="302" t="s">
        <v>1144</v>
      </c>
      <c r="H43" s="302" t="s">
        <v>1144</v>
      </c>
      <c r="I43" s="303" t="s">
        <v>1146</v>
      </c>
      <c r="J43" s="304" t="s">
        <v>199</v>
      </c>
      <c r="K43" s="304" t="s">
        <v>200</v>
      </c>
      <c r="L43" s="304" t="s">
        <v>201</v>
      </c>
      <c r="M43" s="304" t="s">
        <v>1147</v>
      </c>
      <c r="N43" s="304" t="s">
        <v>1148</v>
      </c>
      <c r="O43" s="304" t="s">
        <v>1519</v>
      </c>
      <c r="P43" s="303" t="s">
        <v>1518</v>
      </c>
      <c r="Q43" s="304" t="s">
        <v>1520</v>
      </c>
      <c r="R43" s="304" t="s">
        <v>1521</v>
      </c>
      <c r="S43" s="304" t="s">
        <v>1522</v>
      </c>
      <c r="T43" s="304" t="s">
        <v>1523</v>
      </c>
      <c r="U43" s="304" t="s">
        <v>1524</v>
      </c>
      <c r="V43" s="304" t="s">
        <v>1525</v>
      </c>
      <c r="W43" s="303" t="s">
        <v>661</v>
      </c>
      <c r="X43" s="304" t="s">
        <v>661</v>
      </c>
      <c r="Y43" s="304" t="s">
        <v>1526</v>
      </c>
      <c r="Z43" s="304"/>
      <c r="AA43" s="304" t="s">
        <v>1527</v>
      </c>
      <c r="AB43" s="304" t="s">
        <v>602</v>
      </c>
      <c r="AC43" s="304" t="s">
        <v>1293</v>
      </c>
      <c r="AD43" s="304" t="s">
        <v>1031</v>
      </c>
      <c r="AE43" s="304">
        <v>2019</v>
      </c>
      <c r="AF43" s="304">
        <v>0</v>
      </c>
      <c r="AG43" s="304">
        <v>2017</v>
      </c>
      <c r="AH43" s="304">
        <v>0</v>
      </c>
      <c r="AI43" s="304">
        <v>0</v>
      </c>
      <c r="AJ43" s="304">
        <v>0</v>
      </c>
      <c r="AK43" s="304">
        <v>0.3</v>
      </c>
      <c r="AL43" s="305">
        <v>0.5</v>
      </c>
      <c r="AM43" s="304">
        <v>0.5</v>
      </c>
      <c r="AN43" s="302" t="s">
        <v>1144</v>
      </c>
      <c r="AO43" s="302" t="s">
        <v>1144</v>
      </c>
      <c r="AP43" s="302" t="s">
        <v>1144</v>
      </c>
      <c r="AQ43" s="302" t="s">
        <v>1144</v>
      </c>
      <c r="AR43" s="302" t="s">
        <v>1144</v>
      </c>
      <c r="AS43" s="302" t="s">
        <v>1144</v>
      </c>
      <c r="AT43" s="306">
        <v>0</v>
      </c>
      <c r="AU43" s="306">
        <v>0</v>
      </c>
      <c r="AV43" s="306">
        <v>0</v>
      </c>
      <c r="AW43" s="306">
        <v>30</v>
      </c>
      <c r="AX43" s="307">
        <v>50</v>
      </c>
      <c r="AY43" s="306">
        <v>50</v>
      </c>
      <c r="AZ43" s="303"/>
      <c r="BA43" s="303"/>
      <c r="BB43" s="303"/>
      <c r="BC43" s="303"/>
      <c r="BD43" s="303">
        <v>0</v>
      </c>
      <c r="BE43" s="303"/>
      <c r="BF43" s="303"/>
      <c r="BG43" s="303"/>
      <c r="BH43" s="303"/>
      <c r="BI43" s="303"/>
      <c r="BJ43" s="303">
        <v>0</v>
      </c>
      <c r="BK43" s="302" t="s">
        <v>1144</v>
      </c>
      <c r="BL43" s="302" t="s">
        <v>1144</v>
      </c>
      <c r="BM43" s="302" t="s">
        <v>1144</v>
      </c>
      <c r="BN43" s="302" t="s">
        <v>1144</v>
      </c>
      <c r="BO43" s="302" t="s">
        <v>1144</v>
      </c>
      <c r="BP43" s="302" t="s">
        <v>1144</v>
      </c>
      <c r="BQ43" s="302" t="s">
        <v>1144</v>
      </c>
      <c r="BR43" s="302" t="s">
        <v>1144</v>
      </c>
      <c r="BS43" s="302" t="s">
        <v>1144</v>
      </c>
      <c r="BT43" s="302" t="s">
        <v>1144</v>
      </c>
      <c r="BU43" s="302" t="s">
        <v>1144</v>
      </c>
      <c r="BV43" s="302" t="s">
        <v>1144</v>
      </c>
      <c r="BW43" s="304" t="s">
        <v>1144</v>
      </c>
      <c r="BX43" s="304" t="s">
        <v>1144</v>
      </c>
      <c r="BY43" s="304">
        <v>1</v>
      </c>
      <c r="BZ43" s="304">
        <v>1</v>
      </c>
      <c r="CA43" s="304" t="s">
        <v>1144</v>
      </c>
      <c r="CB43" s="304" t="s">
        <v>1144</v>
      </c>
      <c r="CC43" s="304" t="s">
        <v>1144</v>
      </c>
      <c r="CD43" s="304" t="s">
        <v>1144</v>
      </c>
      <c r="CE43" s="304" t="s">
        <v>1144</v>
      </c>
      <c r="CF43" s="304" t="s">
        <v>1144</v>
      </c>
      <c r="CG43" s="304" t="s">
        <v>1144</v>
      </c>
      <c r="CH43" s="304" t="s">
        <v>1144</v>
      </c>
      <c r="CI43" s="304" t="s">
        <v>1144</v>
      </c>
      <c r="CJ43" s="304" t="s">
        <v>1144</v>
      </c>
      <c r="CK43" s="304" t="s">
        <v>1144</v>
      </c>
      <c r="CL43" s="304" t="s">
        <v>1144</v>
      </c>
      <c r="CM43" s="304" t="s">
        <v>1144</v>
      </c>
      <c r="CN43" s="304" t="s">
        <v>1144</v>
      </c>
      <c r="CO43" s="304" t="s">
        <v>1144</v>
      </c>
      <c r="CP43" s="304" t="s">
        <v>1144</v>
      </c>
      <c r="CQ43" s="304" t="s">
        <v>1144</v>
      </c>
      <c r="CR43" s="304" t="s">
        <v>1144</v>
      </c>
      <c r="CS43" s="304" t="s">
        <v>1144</v>
      </c>
      <c r="CT43" s="304" t="s">
        <v>1144</v>
      </c>
      <c r="CU43" s="304" t="s">
        <v>1144</v>
      </c>
      <c r="CV43" s="304" t="s">
        <v>1144</v>
      </c>
      <c r="CW43" s="304" t="s">
        <v>1528</v>
      </c>
      <c r="CX43" s="304" t="s">
        <v>1144</v>
      </c>
      <c r="CY43" s="304" t="s">
        <v>1144</v>
      </c>
      <c r="CZ43" s="304" t="s">
        <v>1144</v>
      </c>
      <c r="DA43" s="304" t="s">
        <v>1144</v>
      </c>
      <c r="DB43" s="308" t="str">
        <f t="shared" si="32"/>
        <v xml:space="preserve">Plan Estratégico Institucional, Plan de Acción, 01_CONPES 4.1.1., </v>
      </c>
      <c r="DC43" s="303" t="str">
        <f t="shared" si="88"/>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
      <c r="DD43" s="303" t="str">
        <f t="shared" si="88"/>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DE43" s="303">
        <f t="shared" si="88"/>
        <v>0</v>
      </c>
      <c r="DF43" s="303" t="str">
        <f t="shared" si="88"/>
        <v>Informes de resultado realizados por la Dirección Distrital de Desarrollo Institucional de la Secretaría General</v>
      </c>
      <c r="DG43" s="303" t="str">
        <f t="shared" si="88"/>
        <v>Suma</v>
      </c>
      <c r="DH43" s="303">
        <f t="shared" si="2"/>
        <v>50</v>
      </c>
      <c r="DI43" s="303">
        <f t="shared" si="3"/>
        <v>0</v>
      </c>
      <c r="DJ43" s="303">
        <f t="shared" si="4"/>
        <v>0</v>
      </c>
      <c r="DK43" s="303">
        <f t="shared" si="5"/>
        <v>0</v>
      </c>
      <c r="DL43" s="303">
        <f t="shared" si="6"/>
        <v>0</v>
      </c>
      <c r="DM43" s="303">
        <f t="shared" si="7"/>
        <v>0</v>
      </c>
      <c r="DN43" s="303">
        <f t="shared" si="36"/>
        <v>0</v>
      </c>
      <c r="DO43" s="303">
        <f t="shared" si="87"/>
        <v>0</v>
      </c>
      <c r="DP43" s="303">
        <f t="shared" si="87"/>
        <v>0</v>
      </c>
      <c r="DQ43" s="303">
        <f t="shared" si="87"/>
        <v>0</v>
      </c>
      <c r="DR43" s="303">
        <f t="shared" si="87"/>
        <v>0</v>
      </c>
      <c r="DS43" s="303">
        <f t="shared" si="87"/>
        <v>0</v>
      </c>
      <c r="DT43" s="303">
        <f t="shared" si="87"/>
        <v>0</v>
      </c>
      <c r="DU43" s="303">
        <f t="shared" si="89"/>
        <v>50</v>
      </c>
      <c r="DV43" s="303" t="str">
        <f t="shared" si="89"/>
        <v/>
      </c>
      <c r="DW43" s="303" t="str">
        <f t="shared" si="89"/>
        <v/>
      </c>
      <c r="DX43" s="303" t="str">
        <f t="shared" si="89"/>
        <v/>
      </c>
      <c r="DY43" s="303" t="str">
        <f t="shared" si="89"/>
        <v/>
      </c>
      <c r="DZ43" s="303" t="str">
        <f t="shared" si="89"/>
        <v/>
      </c>
      <c r="EA43" s="303" t="str">
        <f t="shared" si="89"/>
        <v/>
      </c>
      <c r="EB43" s="303" t="str">
        <f t="shared" si="89"/>
        <v/>
      </c>
      <c r="EC43" s="303" t="str">
        <f t="shared" si="89"/>
        <v/>
      </c>
      <c r="ED43" s="303" t="str">
        <f t="shared" si="89"/>
        <v/>
      </c>
      <c r="EE43" s="303" t="str">
        <f t="shared" si="90"/>
        <v/>
      </c>
      <c r="EF43" s="303" t="str">
        <f t="shared" si="90"/>
        <v/>
      </c>
      <c r="EG43" s="303" t="str">
        <f t="shared" si="90"/>
        <v/>
      </c>
      <c r="EH43" s="303" t="str">
        <f t="shared" si="90"/>
        <v/>
      </c>
      <c r="EI43" s="303" t="str">
        <f t="shared" si="90"/>
        <v/>
      </c>
      <c r="EJ43" s="303" t="str">
        <f t="shared" si="90"/>
        <v/>
      </c>
      <c r="EK43" s="303" t="str">
        <f t="shared" si="90"/>
        <v/>
      </c>
      <c r="EL43" s="303" t="str">
        <f t="shared" si="90"/>
        <v/>
      </c>
      <c r="EM43" s="303" t="str">
        <f t="shared" si="90"/>
        <v/>
      </c>
      <c r="EN43" s="303" t="str">
        <f t="shared" si="90"/>
        <v/>
      </c>
      <c r="EO43" s="303" t="str">
        <f t="shared" si="91"/>
        <v/>
      </c>
      <c r="EP43" s="303" t="str">
        <f t="shared" si="91"/>
        <v/>
      </c>
      <c r="EQ43" s="303" t="str">
        <f t="shared" si="91"/>
        <v/>
      </c>
      <c r="ER43" s="303" t="str">
        <f t="shared" si="91"/>
        <v/>
      </c>
      <c r="ES43" s="303" t="str">
        <f t="shared" si="91"/>
        <v/>
      </c>
      <c r="ET43" s="303" t="str">
        <f t="shared" si="91"/>
        <v/>
      </c>
      <c r="EU43" s="303" t="str">
        <f t="shared" si="78"/>
        <v/>
      </c>
      <c r="EV43" s="303" t="str">
        <f t="shared" si="78"/>
        <v/>
      </c>
      <c r="EW43" s="303" t="str">
        <f t="shared" si="78"/>
        <v/>
      </c>
      <c r="EX43" s="303" t="str">
        <f t="shared" si="78"/>
        <v/>
      </c>
      <c r="EY43" s="303" t="str">
        <f t="shared" si="78"/>
        <v/>
      </c>
      <c r="EZ43" s="303">
        <f t="shared" si="91"/>
        <v>0</v>
      </c>
      <c r="FA43" s="303">
        <f t="shared" si="91"/>
        <v>0</v>
      </c>
      <c r="FB43" s="303" t="str">
        <f t="shared" si="91"/>
        <v/>
      </c>
      <c r="FC43" s="303" t="str">
        <f t="shared" si="91"/>
        <v/>
      </c>
      <c r="FD43" s="303" t="str">
        <f t="shared" si="92"/>
        <v/>
      </c>
      <c r="FE43" s="303" t="str">
        <f t="shared" si="92"/>
        <v/>
      </c>
      <c r="FF43" s="303" t="str">
        <f t="shared" si="92"/>
        <v/>
      </c>
      <c r="FG43" s="303" t="str">
        <f t="shared" si="92"/>
        <v/>
      </c>
      <c r="FH43" s="303" t="str">
        <f t="shared" si="92"/>
        <v/>
      </c>
      <c r="FI43" s="303" t="str">
        <f t="shared" si="92"/>
        <v/>
      </c>
      <c r="FJ43" s="303" t="str">
        <f t="shared" si="92"/>
        <v/>
      </c>
      <c r="FK43" s="303" t="str">
        <f t="shared" si="92"/>
        <v/>
      </c>
      <c r="FL43" s="303" t="str">
        <f t="shared" si="92"/>
        <v/>
      </c>
      <c r="FM43" s="303" t="str">
        <f t="shared" si="92"/>
        <v/>
      </c>
      <c r="FN43" s="303" t="str">
        <f t="shared" si="93"/>
        <v/>
      </c>
      <c r="FO43" s="303" t="str">
        <f t="shared" si="93"/>
        <v/>
      </c>
      <c r="FP43" s="303" t="str">
        <f t="shared" si="93"/>
        <v/>
      </c>
      <c r="FQ43" s="303" t="str">
        <f t="shared" si="93"/>
        <v/>
      </c>
      <c r="FR43" s="303" t="str">
        <f t="shared" si="93"/>
        <v/>
      </c>
      <c r="FS43" s="303" t="str">
        <f t="shared" si="93"/>
        <v/>
      </c>
      <c r="FT43" s="303" t="str">
        <f t="shared" si="93"/>
        <v/>
      </c>
      <c r="FU43" s="303" t="str">
        <f t="shared" si="93"/>
        <v/>
      </c>
      <c r="FV43" s="303" t="str">
        <f t="shared" si="93"/>
        <v/>
      </c>
      <c r="FW43" s="303" t="str">
        <f t="shared" si="93"/>
        <v/>
      </c>
      <c r="FX43" s="303" t="str">
        <f t="shared" si="94"/>
        <v/>
      </c>
      <c r="FY43" s="303" t="str">
        <f t="shared" si="94"/>
        <v/>
      </c>
      <c r="FZ43" s="303" t="str">
        <f t="shared" si="94"/>
        <v/>
      </c>
      <c r="GA43" s="303" t="str">
        <f t="shared" si="94"/>
        <v/>
      </c>
      <c r="GB43" s="303" t="str">
        <f t="shared" si="94"/>
        <v/>
      </c>
      <c r="GC43" s="303" t="str">
        <f t="shared" si="94"/>
        <v/>
      </c>
      <c r="GD43" s="303" t="str">
        <f t="shared" si="94"/>
        <v/>
      </c>
      <c r="GE43" s="303" t="str">
        <f t="shared" si="94"/>
        <v/>
      </c>
      <c r="GF43" s="303" t="str">
        <f t="shared" si="33"/>
        <v/>
      </c>
      <c r="GG43" s="303" t="str">
        <f t="shared" si="22"/>
        <v/>
      </c>
      <c r="GH43" s="303" t="str">
        <f t="shared" si="23"/>
        <v/>
      </c>
      <c r="GI43" s="303" t="str">
        <f t="shared" si="24"/>
        <v/>
      </c>
      <c r="GJ43" s="303" t="str">
        <f t="shared" si="25"/>
        <v/>
      </c>
      <c r="GK43" s="303">
        <f t="shared" si="34"/>
        <v>0</v>
      </c>
      <c r="GL43" s="303">
        <f t="shared" si="15"/>
        <v>0</v>
      </c>
      <c r="GM43" s="303">
        <f t="shared" si="16"/>
        <v>0</v>
      </c>
      <c r="GN43" s="303">
        <f t="shared" si="17"/>
        <v>0</v>
      </c>
      <c r="GO43" s="303">
        <f t="shared" si="18"/>
        <v>0</v>
      </c>
      <c r="GP43" s="303">
        <f t="shared" si="19"/>
        <v>0</v>
      </c>
      <c r="GQ43" s="303">
        <f t="shared" si="19"/>
        <v>0</v>
      </c>
      <c r="GR43" s="309">
        <f>+IF(DG43="Suma",SUM(GL43:GQ43),AVERAGE(GL43:GQ43))</f>
        <v>0</v>
      </c>
      <c r="GS43" s="303" t="str">
        <f t="shared" si="37"/>
        <v>No Programó</v>
      </c>
      <c r="GT43" s="303" t="str">
        <f>+IF(OR($A43=52,$A43=124),1,IFERROR(IF($X43="Creciente",IF($AB43="Número",SUM($GL43:GM43)/SUM($DO43:DP43)*($AX43-$AW43),SUM($GL43:GM43)/SUM($DO43:DP43))*($AX43-$AW43),IF($DG43="Creciente",GM43*GM43/GM43,IF(AND($DG43="Constante",$AB43="Porcentaje"),AVERAGEIF($GL43:GM43,"&lt;&gt;0")/AVERAGEIF($DO43:DP43,"&lt;&gt;0")*100,SUM($GL43:GM43)/SUM($DO43:DP43)*$DU43))),GS43))</f>
        <v>No Programó</v>
      </c>
      <c r="GU43" s="303" t="str">
        <f>+IF(OR($A43=52,$A43=124),1,IFERROR(IF($X43="Creciente",IF($AB43="Número",SUM($GL43:GN43)/SUM($DO43:DQ43)*($AX43-$AW43),SUM($GL43:GN43)/SUM($DO43:DQ43))*($AX43-$AW43),IF($DG43="Creciente",GN43*GN43/GN43,IF(AND($DG43="Constante",$AB43="Porcentaje"),AVERAGEIF($GL43:GN43,"&lt;&gt;0")/AVERAGEIF($DO43:DQ43,"&lt;&gt;0")*100,SUM($GL43:GN43)/SUM($DO43:DQ43)*$DU43))),GT43))</f>
        <v>No Programó</v>
      </c>
      <c r="GV43" s="303" t="str">
        <f>+IF(OR($A43=52,$A43=124),1,IFERROR(IF($X43="Creciente",IF($AB43="Número",SUM($GL43:GO43)/SUM($DO43:DR43)*($AX43-$AW43),SUM($GL43:GO43)/SUM($DO43:DR43))*($AX43-$AW43),IF($DG43="Creciente",GO43*GO43/GO43,IF(AND($DG43="Constante",$AB43="Porcentaje"),AVERAGEIF($GL43:GO43,"&lt;&gt;0")/AVERAGEIF($DO43:DR43,"&lt;&gt;0")*100,SUM($GL43:GO43)/SUM($DO43:DR43)*$DU43))),GU43))</f>
        <v>No Programó</v>
      </c>
      <c r="GW43" s="303" t="str">
        <f>+IF(OR($A43=52,$A43=124),1,IFERROR(IF($X43="Creciente",IF($AB43="Número",SUM($GL43:GP43)/SUM($DO43:DS43)*($AX43-$AW43),SUM($GL43:GP43)/SUM($DO43:DS43))*($AX43-$AW43),IF($DG43="Creciente",GP43*GP43/GP43,IF(AND($DG43="Constante",$AB43="Porcentaje"),AVERAGEIF($GL43:GP43,"&lt;&gt;0")/AVERAGEIF($DO43:DS43,"&lt;&gt;0")*100,SUM($GL43:GP43)/SUM($DO43:DS43)*$DU43))),GV43))</f>
        <v>No Programó</v>
      </c>
      <c r="GX43" s="303" t="str">
        <f>+IF(OR($A43=52,$A43=124),1,IFERROR(IF($X43="Creciente",IF($AB43="Número",SUM($GL43:GQ43)/SUM($DO43:DT43)*($AX43-$AW43),SUM($GL43:GQ43)/SUM($DO43:DT43))*($AX43-$AW43),IF($DG43="Creciente",GQ43*GQ43/GQ43,IF(AND($DG43="Constante",$AB43="Porcentaje"),AVERAGEIF($GL43:GQ43,"&lt;&gt;0")/AVERAGEIF($DO43:DT43,"&lt;&gt;0")*100,SUM($GL43:GQ43)/SUM($DO43:DT43)*$DU43))),GW43))</f>
        <v>No Programó</v>
      </c>
      <c r="GY43" s="303" t="str">
        <f t="shared" si="28"/>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
      <c r="GZ43" s="303" t="str">
        <f t="shared" si="29"/>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HA43" s="303">
        <f t="shared" si="30"/>
        <v>0</v>
      </c>
      <c r="HB43" s="303" t="str">
        <f t="shared" si="31"/>
        <v>Informes de resultado realizados por la Dirección Distrital de Desarrollo Institucional de la Secretaría General</v>
      </c>
      <c r="HC43" s="149">
        <f t="shared" si="85"/>
        <v>0</v>
      </c>
      <c r="HD43" s="149">
        <f t="shared" si="85"/>
        <v>0</v>
      </c>
      <c r="HE43" s="149">
        <f t="shared" si="85"/>
        <v>0</v>
      </c>
      <c r="HF43" s="149">
        <f t="shared" si="85"/>
        <v>0</v>
      </c>
      <c r="HG43" s="149">
        <f t="shared" si="85"/>
        <v>0</v>
      </c>
      <c r="HH43" s="149">
        <f t="shared" si="85"/>
        <v>0</v>
      </c>
      <c r="HI43" s="149">
        <f t="shared" si="85"/>
        <v>0</v>
      </c>
      <c r="HJ43" s="149">
        <f t="shared" si="85"/>
        <v>0</v>
      </c>
      <c r="HK43" s="149">
        <f t="shared" si="85"/>
        <v>0</v>
      </c>
      <c r="HL43" s="149">
        <f t="shared" si="85"/>
        <v>0</v>
      </c>
      <c r="HM43" s="149">
        <f t="shared" si="86"/>
        <v>0</v>
      </c>
      <c r="HN43" s="149">
        <f t="shared" si="86"/>
        <v>0</v>
      </c>
      <c r="HO43" s="149">
        <f t="shared" si="86"/>
        <v>0</v>
      </c>
      <c r="HP43" s="149">
        <f t="shared" si="86"/>
        <v>0</v>
      </c>
      <c r="HQ43" s="149">
        <f t="shared" si="86"/>
        <v>0</v>
      </c>
      <c r="HR43" s="149">
        <f t="shared" si="86"/>
        <v>0</v>
      </c>
      <c r="HS43" s="149">
        <f t="shared" si="86"/>
        <v>0</v>
      </c>
      <c r="HT43" s="149">
        <f t="shared" si="86"/>
        <v>0</v>
      </c>
      <c r="HU43" s="149">
        <f t="shared" si="86"/>
        <v>0</v>
      </c>
      <c r="HV43" s="149">
        <f t="shared" si="86"/>
        <v>0</v>
      </c>
      <c r="HW43" s="149">
        <f t="shared" si="86"/>
        <v>0</v>
      </c>
      <c r="HX43" s="149">
        <f t="shared" si="86"/>
        <v>0</v>
      </c>
      <c r="HY43" s="303"/>
      <c r="HZ43" s="303"/>
      <c r="IA43" s="303"/>
      <c r="IB43" s="303"/>
      <c r="IC43" s="303"/>
      <c r="ID43" s="303"/>
      <c r="IE43" s="303"/>
      <c r="IF43" s="303"/>
      <c r="IG43" s="303"/>
    </row>
    <row r="44" spans="1:241" s="149" customFormat="1" x14ac:dyDescent="0.3">
      <c r="A44" s="301" t="s">
        <v>371</v>
      </c>
      <c r="B44" s="302" t="s">
        <v>1144</v>
      </c>
      <c r="C44" s="302" t="s">
        <v>1144</v>
      </c>
      <c r="D44" s="302" t="s">
        <v>1144</v>
      </c>
      <c r="E44" s="302" t="s">
        <v>1144</v>
      </c>
      <c r="F44" s="303" t="s">
        <v>1529</v>
      </c>
      <c r="G44" s="302" t="s">
        <v>1144</v>
      </c>
      <c r="H44" s="302" t="s">
        <v>1144</v>
      </c>
      <c r="I44" s="303" t="s">
        <v>1146</v>
      </c>
      <c r="J44" s="304" t="s">
        <v>199</v>
      </c>
      <c r="K44" s="304" t="s">
        <v>200</v>
      </c>
      <c r="L44" s="304" t="s">
        <v>201</v>
      </c>
      <c r="M44" s="304" t="s">
        <v>1147</v>
      </c>
      <c r="N44" s="304" t="s">
        <v>1148</v>
      </c>
      <c r="O44" s="304" t="s">
        <v>1519</v>
      </c>
      <c r="P44" s="303" t="s">
        <v>1529</v>
      </c>
      <c r="Q44" s="304" t="s">
        <v>1530</v>
      </c>
      <c r="R44" s="304" t="s">
        <v>1531</v>
      </c>
      <c r="S44" s="304" t="s">
        <v>1532</v>
      </c>
      <c r="T44" s="304" t="s">
        <v>1533</v>
      </c>
      <c r="U44" s="304">
        <v>0</v>
      </c>
      <c r="V44" s="304" t="s">
        <v>1534</v>
      </c>
      <c r="W44" s="303" t="s">
        <v>638</v>
      </c>
      <c r="X44" s="304" t="s">
        <v>638</v>
      </c>
      <c r="Y44" s="304" t="s">
        <v>1526</v>
      </c>
      <c r="Z44" s="304" t="s">
        <v>1535</v>
      </c>
      <c r="AA44" s="304" t="s">
        <v>1536</v>
      </c>
      <c r="AB44" s="304" t="s">
        <v>639</v>
      </c>
      <c r="AC44" s="304" t="s">
        <v>1293</v>
      </c>
      <c r="AD44" s="304" t="s">
        <v>1031</v>
      </c>
      <c r="AE44" s="304">
        <v>2018</v>
      </c>
      <c r="AF44" s="304">
        <v>0</v>
      </c>
      <c r="AG44" s="304">
        <v>2018</v>
      </c>
      <c r="AH44" s="304">
        <v>0</v>
      </c>
      <c r="AI44" s="304">
        <v>0</v>
      </c>
      <c r="AJ44" s="304">
        <v>7</v>
      </c>
      <c r="AK44" s="304">
        <v>2</v>
      </c>
      <c r="AL44" s="305">
        <v>1</v>
      </c>
      <c r="AM44" s="304">
        <v>0</v>
      </c>
      <c r="AN44" s="302" t="s">
        <v>1144</v>
      </c>
      <c r="AO44" s="302" t="s">
        <v>1144</v>
      </c>
      <c r="AP44" s="302" t="s">
        <v>1144</v>
      </c>
      <c r="AQ44" s="302" t="s">
        <v>1144</v>
      </c>
      <c r="AR44" s="302" t="s">
        <v>1144</v>
      </c>
      <c r="AS44" s="302" t="s">
        <v>1144</v>
      </c>
      <c r="AT44" s="306">
        <v>0</v>
      </c>
      <c r="AU44" s="306">
        <v>0</v>
      </c>
      <c r="AV44" s="306">
        <v>7</v>
      </c>
      <c r="AW44" s="306">
        <v>2</v>
      </c>
      <c r="AX44" s="307">
        <v>1</v>
      </c>
      <c r="AY44" s="306">
        <v>0</v>
      </c>
      <c r="AZ44" s="303"/>
      <c r="BA44" s="303"/>
      <c r="BB44" s="303"/>
      <c r="BC44" s="303"/>
      <c r="BD44" s="303">
        <v>0</v>
      </c>
      <c r="BE44" s="303"/>
      <c r="BF44" s="303"/>
      <c r="BG44" s="303"/>
      <c r="BH44" s="303"/>
      <c r="BI44" s="303"/>
      <c r="BJ44" s="303">
        <v>0</v>
      </c>
      <c r="BK44" s="302" t="s">
        <v>1144</v>
      </c>
      <c r="BL44" s="302" t="s">
        <v>1144</v>
      </c>
      <c r="BM44" s="302" t="s">
        <v>1144</v>
      </c>
      <c r="BN44" s="302" t="s">
        <v>1144</v>
      </c>
      <c r="BO44" s="302" t="s">
        <v>1144</v>
      </c>
      <c r="BP44" s="302" t="s">
        <v>1144</v>
      </c>
      <c r="BQ44" s="302" t="s">
        <v>1144</v>
      </c>
      <c r="BR44" s="302" t="s">
        <v>1144</v>
      </c>
      <c r="BS44" s="302" t="s">
        <v>1144</v>
      </c>
      <c r="BT44" s="302" t="s">
        <v>1144</v>
      </c>
      <c r="BU44" s="302" t="s">
        <v>1144</v>
      </c>
      <c r="BV44" s="302" t="s">
        <v>1144</v>
      </c>
      <c r="BW44" s="304" t="s">
        <v>1144</v>
      </c>
      <c r="BX44" s="304" t="s">
        <v>1144</v>
      </c>
      <c r="BY44" s="304">
        <v>1</v>
      </c>
      <c r="BZ44" s="304">
        <v>1</v>
      </c>
      <c r="CA44" s="304" t="s">
        <v>1144</v>
      </c>
      <c r="CB44" s="304" t="s">
        <v>1144</v>
      </c>
      <c r="CC44" s="304" t="s">
        <v>1144</v>
      </c>
      <c r="CD44" s="304" t="s">
        <v>1144</v>
      </c>
      <c r="CE44" s="304" t="s">
        <v>1144</v>
      </c>
      <c r="CF44" s="304" t="s">
        <v>1144</v>
      </c>
      <c r="CG44" s="304" t="s">
        <v>1144</v>
      </c>
      <c r="CH44" s="304" t="s">
        <v>1144</v>
      </c>
      <c r="CI44" s="304" t="s">
        <v>1144</v>
      </c>
      <c r="CJ44" s="304" t="s">
        <v>1144</v>
      </c>
      <c r="CK44" s="304" t="s">
        <v>1144</v>
      </c>
      <c r="CL44" s="304" t="s">
        <v>1144</v>
      </c>
      <c r="CM44" s="304" t="s">
        <v>1144</v>
      </c>
      <c r="CN44" s="304" t="s">
        <v>1144</v>
      </c>
      <c r="CO44" s="304" t="s">
        <v>1144</v>
      </c>
      <c r="CP44" s="304" t="s">
        <v>1144</v>
      </c>
      <c r="CQ44" s="304" t="s">
        <v>1144</v>
      </c>
      <c r="CR44" s="304" t="s">
        <v>1144</v>
      </c>
      <c r="CS44" s="304" t="s">
        <v>1144</v>
      </c>
      <c r="CT44" s="304" t="s">
        <v>1144</v>
      </c>
      <c r="CU44" s="304" t="s">
        <v>1144</v>
      </c>
      <c r="CV44" s="304" t="s">
        <v>1144</v>
      </c>
      <c r="CW44" s="304" t="s">
        <v>1537</v>
      </c>
      <c r="CX44" s="304" t="s">
        <v>1144</v>
      </c>
      <c r="CY44" s="304" t="s">
        <v>1144</v>
      </c>
      <c r="CZ44" s="304" t="s">
        <v>1144</v>
      </c>
      <c r="DA44" s="304" t="s">
        <v>1144</v>
      </c>
      <c r="DB44" s="308" t="str">
        <f t="shared" si="32"/>
        <v xml:space="preserve">Plan Estratégico Institucional, Plan de Acción, EX_CONPES 01, </v>
      </c>
      <c r="DC44" s="303" t="str">
        <f t="shared" si="88"/>
        <v>Verificar el cumplimiento en la elaboración de los Documentos Técnicos establecidos para la vigencia</v>
      </c>
      <c r="DD44" s="303" t="str">
        <f t="shared" si="88"/>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DE44" s="303" t="str">
        <f t="shared" si="88"/>
        <v xml:space="preserve">Orientar a través de Documentos Técnicos a las entidades distritales frente a la simplificación de procesos y Buenas Prácticas en Integridad. </v>
      </c>
      <c r="DF44" s="303" t="str">
        <f t="shared" si="88"/>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
      <c r="DG44" s="303" t="str">
        <f t="shared" si="88"/>
        <v>Suma</v>
      </c>
      <c r="DH44" s="303">
        <f t="shared" si="2"/>
        <v>1</v>
      </c>
      <c r="DI44" s="303">
        <f t="shared" si="3"/>
        <v>0</v>
      </c>
      <c r="DJ44" s="303">
        <f t="shared" si="4"/>
        <v>0</v>
      </c>
      <c r="DK44" s="303">
        <f t="shared" si="5"/>
        <v>0</v>
      </c>
      <c r="DL44" s="303">
        <f t="shared" si="6"/>
        <v>0</v>
      </c>
      <c r="DM44" s="303">
        <f t="shared" si="7"/>
        <v>0</v>
      </c>
      <c r="DN44" s="303">
        <f t="shared" si="36"/>
        <v>0</v>
      </c>
      <c r="DO44" s="303">
        <f t="shared" si="87"/>
        <v>0</v>
      </c>
      <c r="DP44" s="303">
        <f t="shared" si="87"/>
        <v>0</v>
      </c>
      <c r="DQ44" s="303">
        <f t="shared" si="87"/>
        <v>0</v>
      </c>
      <c r="DR44" s="303">
        <f t="shared" si="87"/>
        <v>0</v>
      </c>
      <c r="DS44" s="303">
        <f t="shared" si="87"/>
        <v>0</v>
      </c>
      <c r="DT44" s="303">
        <f t="shared" si="87"/>
        <v>0</v>
      </c>
      <c r="DU44" s="303">
        <f t="shared" si="89"/>
        <v>1</v>
      </c>
      <c r="DV44" s="303" t="str">
        <f t="shared" si="89"/>
        <v/>
      </c>
      <c r="DW44" s="303" t="str">
        <f t="shared" si="89"/>
        <v/>
      </c>
      <c r="DX44" s="303" t="str">
        <f t="shared" si="89"/>
        <v/>
      </c>
      <c r="DY44" s="303" t="str">
        <f t="shared" si="89"/>
        <v/>
      </c>
      <c r="DZ44" s="303" t="str">
        <f t="shared" si="89"/>
        <v/>
      </c>
      <c r="EA44" s="303" t="str">
        <f t="shared" si="89"/>
        <v/>
      </c>
      <c r="EB44" s="303" t="str">
        <f t="shared" si="89"/>
        <v/>
      </c>
      <c r="EC44" s="303" t="str">
        <f t="shared" si="89"/>
        <v/>
      </c>
      <c r="ED44" s="303" t="str">
        <f t="shared" si="89"/>
        <v/>
      </c>
      <c r="EE44" s="303" t="str">
        <f t="shared" si="90"/>
        <v/>
      </c>
      <c r="EF44" s="303" t="str">
        <f t="shared" si="90"/>
        <v/>
      </c>
      <c r="EG44" s="303" t="str">
        <f t="shared" si="90"/>
        <v/>
      </c>
      <c r="EH44" s="303" t="str">
        <f t="shared" si="90"/>
        <v/>
      </c>
      <c r="EI44" s="303" t="str">
        <f t="shared" si="90"/>
        <v/>
      </c>
      <c r="EJ44" s="303" t="str">
        <f t="shared" si="90"/>
        <v/>
      </c>
      <c r="EK44" s="303" t="str">
        <f t="shared" si="90"/>
        <v/>
      </c>
      <c r="EL44" s="303" t="str">
        <f t="shared" si="90"/>
        <v/>
      </c>
      <c r="EM44" s="303" t="str">
        <f t="shared" si="90"/>
        <v/>
      </c>
      <c r="EN44" s="303" t="str">
        <f t="shared" si="90"/>
        <v/>
      </c>
      <c r="EO44" s="303" t="str">
        <f t="shared" si="91"/>
        <v/>
      </c>
      <c r="EP44" s="303" t="str">
        <f t="shared" si="91"/>
        <v/>
      </c>
      <c r="EQ44" s="303" t="str">
        <f t="shared" si="91"/>
        <v/>
      </c>
      <c r="ER44" s="303" t="str">
        <f t="shared" si="91"/>
        <v/>
      </c>
      <c r="ES44" s="303" t="str">
        <f t="shared" si="91"/>
        <v/>
      </c>
      <c r="ET44" s="303" t="str">
        <f t="shared" si="91"/>
        <v/>
      </c>
      <c r="EU44" s="303" t="str">
        <f t="shared" si="91"/>
        <v/>
      </c>
      <c r="EV44" s="303" t="str">
        <f t="shared" si="91"/>
        <v/>
      </c>
      <c r="EW44" s="303" t="str">
        <f t="shared" si="91"/>
        <v/>
      </c>
      <c r="EX44" s="303" t="str">
        <f t="shared" si="91"/>
        <v/>
      </c>
      <c r="EY44" s="303" t="str">
        <f t="shared" si="91"/>
        <v/>
      </c>
      <c r="EZ44" s="303">
        <f t="shared" si="91"/>
        <v>0</v>
      </c>
      <c r="FA44" s="303">
        <f t="shared" si="91"/>
        <v>0</v>
      </c>
      <c r="FB44" s="303" t="str">
        <f t="shared" si="91"/>
        <v/>
      </c>
      <c r="FC44" s="303" t="str">
        <f t="shared" si="91"/>
        <v/>
      </c>
      <c r="FD44" s="303" t="str">
        <f t="shared" si="92"/>
        <v/>
      </c>
      <c r="FE44" s="303" t="str">
        <f t="shared" si="92"/>
        <v/>
      </c>
      <c r="FF44" s="303" t="str">
        <f t="shared" si="92"/>
        <v/>
      </c>
      <c r="FG44" s="303" t="str">
        <f t="shared" si="92"/>
        <v/>
      </c>
      <c r="FH44" s="303" t="str">
        <f t="shared" si="92"/>
        <v/>
      </c>
      <c r="FI44" s="303" t="str">
        <f t="shared" si="92"/>
        <v/>
      </c>
      <c r="FJ44" s="303" t="str">
        <f t="shared" si="92"/>
        <v/>
      </c>
      <c r="FK44" s="303" t="str">
        <f t="shared" si="92"/>
        <v/>
      </c>
      <c r="FL44" s="303" t="str">
        <f t="shared" si="92"/>
        <v/>
      </c>
      <c r="FM44" s="303" t="str">
        <f t="shared" si="92"/>
        <v/>
      </c>
      <c r="FN44" s="303" t="str">
        <f t="shared" si="93"/>
        <v/>
      </c>
      <c r="FO44" s="303" t="str">
        <f t="shared" si="93"/>
        <v/>
      </c>
      <c r="FP44" s="303" t="str">
        <f t="shared" si="93"/>
        <v/>
      </c>
      <c r="FQ44" s="303" t="str">
        <f t="shared" si="93"/>
        <v/>
      </c>
      <c r="FR44" s="303" t="str">
        <f t="shared" si="93"/>
        <v/>
      </c>
      <c r="FS44" s="303" t="str">
        <f t="shared" si="93"/>
        <v/>
      </c>
      <c r="FT44" s="303" t="str">
        <f t="shared" si="93"/>
        <v/>
      </c>
      <c r="FU44" s="303" t="str">
        <f t="shared" si="93"/>
        <v/>
      </c>
      <c r="FV44" s="303" t="str">
        <f t="shared" si="93"/>
        <v/>
      </c>
      <c r="FW44" s="303" t="str">
        <f t="shared" si="93"/>
        <v/>
      </c>
      <c r="FX44" s="303" t="str">
        <f t="shared" si="94"/>
        <v/>
      </c>
      <c r="FY44" s="303" t="str">
        <f t="shared" si="94"/>
        <v/>
      </c>
      <c r="FZ44" s="303" t="str">
        <f t="shared" si="94"/>
        <v/>
      </c>
      <c r="GA44" s="303" t="str">
        <f t="shared" si="94"/>
        <v/>
      </c>
      <c r="GB44" s="303" t="str">
        <f t="shared" si="94"/>
        <v/>
      </c>
      <c r="GC44" s="303" t="str">
        <f t="shared" si="94"/>
        <v/>
      </c>
      <c r="GD44" s="303" t="str">
        <f t="shared" si="94"/>
        <v/>
      </c>
      <c r="GE44" s="303" t="str">
        <f t="shared" si="94"/>
        <v/>
      </c>
      <c r="GF44" s="303" t="str">
        <f t="shared" si="33"/>
        <v/>
      </c>
      <c r="GG44" s="303" t="str">
        <f t="shared" si="22"/>
        <v/>
      </c>
      <c r="GH44" s="303" t="str">
        <f t="shared" si="23"/>
        <v/>
      </c>
      <c r="GI44" s="303" t="str">
        <f t="shared" si="24"/>
        <v/>
      </c>
      <c r="GJ44" s="303" t="str">
        <f t="shared" si="25"/>
        <v/>
      </c>
      <c r="GK44" s="303">
        <f t="shared" si="34"/>
        <v>0</v>
      </c>
      <c r="GL44" s="303">
        <f t="shared" si="15"/>
        <v>0</v>
      </c>
      <c r="GM44" s="303">
        <f t="shared" si="16"/>
        <v>0</v>
      </c>
      <c r="GN44" s="303">
        <f t="shared" si="17"/>
        <v>0</v>
      </c>
      <c r="GO44" s="303">
        <f t="shared" si="18"/>
        <v>0</v>
      </c>
      <c r="GP44" s="303">
        <f t="shared" si="19"/>
        <v>0</v>
      </c>
      <c r="GQ44" s="303">
        <f t="shared" si="19"/>
        <v>0</v>
      </c>
      <c r="GR44" s="309">
        <f>+IF(DG44="Suma",SUM(GL44:GQ44),AVERAGE(GL44:GQ44))</f>
        <v>0</v>
      </c>
      <c r="GS44" s="303" t="str">
        <f t="shared" si="37"/>
        <v>No Programó</v>
      </c>
      <c r="GT44" s="303" t="str">
        <f>+IF(OR($A44=52,$A44=124),1,IFERROR(IF($X44="Creciente",IF($AB44="Número",SUM($GL44:GM44)/SUM($DO44:DP44)*($AX44-$AW44),SUM($GL44:GM44)/SUM($DO44:DP44))*($AX44-$AW44),IF($DG44="Creciente",GM44*GM44/GM44,IF(AND($DG44="Constante",$AB44="Porcentaje"),AVERAGEIF($GL44:GM44,"&lt;&gt;0")/AVERAGEIF($DO44:DP44,"&lt;&gt;0")*100,SUM($GL44:GM44)/SUM($DO44:DP44)*$DU44))),GS44))</f>
        <v>No Programó</v>
      </c>
      <c r="GU44" s="303" t="str">
        <f>+IF(OR($A44=52,$A44=124),1,IFERROR(IF($X44="Creciente",IF($AB44="Número",SUM($GL44:GN44)/SUM($DO44:DQ44)*($AX44-$AW44),SUM($GL44:GN44)/SUM($DO44:DQ44))*($AX44-$AW44),IF($DG44="Creciente",GN44*GN44/GN44,IF(AND($DG44="Constante",$AB44="Porcentaje"),AVERAGEIF($GL44:GN44,"&lt;&gt;0")/AVERAGEIF($DO44:DQ44,"&lt;&gt;0")*100,SUM($GL44:GN44)/SUM($DO44:DQ44)*$DU44))),GT44))</f>
        <v>No Programó</v>
      </c>
      <c r="GV44" s="303" t="str">
        <f>+IF(OR($A44=52,$A44=124),1,IFERROR(IF($X44="Creciente",IF($AB44="Número",SUM($GL44:GO44)/SUM($DO44:DR44)*($AX44-$AW44),SUM($GL44:GO44)/SUM($DO44:DR44))*($AX44-$AW44),IF($DG44="Creciente",GO44*GO44/GO44,IF(AND($DG44="Constante",$AB44="Porcentaje"),AVERAGEIF($GL44:GO44,"&lt;&gt;0")/AVERAGEIF($DO44:DR44,"&lt;&gt;0")*100,SUM($GL44:GO44)/SUM($DO44:DR44)*$DU44))),GU44))</f>
        <v>No Programó</v>
      </c>
      <c r="GW44" s="303" t="str">
        <f>+IF(OR($A44=52,$A44=124),1,IFERROR(IF($X44="Creciente",IF($AB44="Número",SUM($GL44:GP44)/SUM($DO44:DS44)*($AX44-$AW44),SUM($GL44:GP44)/SUM($DO44:DS44))*($AX44-$AW44),IF($DG44="Creciente",GP44*GP44/GP44,IF(AND($DG44="Constante",$AB44="Porcentaje"),AVERAGEIF($GL44:GP44,"&lt;&gt;0")/AVERAGEIF($DO44:DS44,"&lt;&gt;0")*100,SUM($GL44:GP44)/SUM($DO44:DS44)*$DU44))),GV44))</f>
        <v>No Programó</v>
      </c>
      <c r="GX44" s="303" t="str">
        <f>+IF(OR($A44=52,$A44=124),1,IFERROR(IF($X44="Creciente",IF($AB44="Número",SUM($GL44:GQ44)/SUM($DO44:DT44)*($AX44-$AW44),SUM($GL44:GQ44)/SUM($DO44:DT44))*($AX44-$AW44),IF($DG44="Creciente",GQ44*GQ44/GQ44,IF(AND($DG44="Constante",$AB44="Porcentaje"),AVERAGEIF($GL44:GQ44,"&lt;&gt;0")/AVERAGEIF($DO44:DT44,"&lt;&gt;0")*100,SUM($GL44:GQ44)/SUM($DO44:DT44)*$DU44))),GW44))</f>
        <v>No Programó</v>
      </c>
      <c r="GY44" s="303" t="str">
        <f t="shared" si="28"/>
        <v>Verificar el cumplimiento en la elaboración de los Documentos Técnicos establecidos para la vigencia</v>
      </c>
      <c r="GZ44" s="303" t="str">
        <f t="shared" si="29"/>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
      <c r="HA44" s="303" t="str">
        <f t="shared" si="30"/>
        <v xml:space="preserve">Orientar a través de Documentos Técnicos a las entidades distritales frente a la simplificación de procesos y Buenas Prácticas en Integridad. </v>
      </c>
      <c r="HB44" s="303" t="str">
        <f t="shared" si="31"/>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
      <c r="HC44" s="149">
        <f t="shared" si="85"/>
        <v>0</v>
      </c>
      <c r="HD44" s="149">
        <f t="shared" si="85"/>
        <v>0</v>
      </c>
      <c r="HE44" s="149">
        <f t="shared" si="85"/>
        <v>0</v>
      </c>
      <c r="HF44" s="149">
        <f t="shared" si="85"/>
        <v>0</v>
      </c>
      <c r="HG44" s="149">
        <f t="shared" si="85"/>
        <v>0</v>
      </c>
      <c r="HH44" s="149">
        <f t="shared" si="85"/>
        <v>0</v>
      </c>
      <c r="HI44" s="149">
        <f t="shared" si="85"/>
        <v>0</v>
      </c>
      <c r="HJ44" s="149">
        <f t="shared" si="85"/>
        <v>0</v>
      </c>
      <c r="HK44" s="149">
        <f t="shared" si="85"/>
        <v>0</v>
      </c>
      <c r="HL44" s="149">
        <f t="shared" si="85"/>
        <v>0</v>
      </c>
      <c r="HM44" s="149">
        <f t="shared" si="86"/>
        <v>0</v>
      </c>
      <c r="HN44" s="149">
        <f t="shared" si="86"/>
        <v>0</v>
      </c>
      <c r="HO44" s="149">
        <f t="shared" si="86"/>
        <v>0</v>
      </c>
      <c r="HP44" s="149">
        <f t="shared" si="86"/>
        <v>0</v>
      </c>
      <c r="HQ44" s="149">
        <f t="shared" si="86"/>
        <v>0</v>
      </c>
      <c r="HR44" s="149">
        <f t="shared" si="86"/>
        <v>0</v>
      </c>
      <c r="HS44" s="149">
        <f t="shared" si="86"/>
        <v>0</v>
      </c>
      <c r="HT44" s="149">
        <f t="shared" si="86"/>
        <v>0</v>
      </c>
      <c r="HU44" s="149">
        <f t="shared" si="86"/>
        <v>0</v>
      </c>
      <c r="HV44" s="149">
        <f t="shared" si="86"/>
        <v>0</v>
      </c>
      <c r="HW44" s="149">
        <f t="shared" si="86"/>
        <v>0</v>
      </c>
      <c r="HX44" s="149">
        <f t="shared" si="86"/>
        <v>0</v>
      </c>
      <c r="HY44" s="303"/>
      <c r="HZ44" s="303"/>
      <c r="IA44" s="303"/>
      <c r="IB44" s="303"/>
      <c r="IC44" s="303"/>
      <c r="ID44" s="303"/>
      <c r="IE44" s="303"/>
      <c r="IF44" s="303"/>
      <c r="IG44" s="303"/>
    </row>
    <row r="45" spans="1:241" s="149" customFormat="1" x14ac:dyDescent="0.3">
      <c r="A45" s="145" t="s">
        <v>372</v>
      </c>
      <c r="B45" s="146" t="s">
        <v>1144</v>
      </c>
      <c r="C45" s="146" t="s">
        <v>1144</v>
      </c>
      <c r="D45" s="146" t="s">
        <v>1144</v>
      </c>
      <c r="E45" s="146" t="s">
        <v>1144</v>
      </c>
      <c r="F45" s="136" t="s">
        <v>1538</v>
      </c>
      <c r="G45" s="146" t="s">
        <v>1144</v>
      </c>
      <c r="H45" s="146" t="s">
        <v>1144</v>
      </c>
      <c r="I45" s="149" t="s">
        <v>1146</v>
      </c>
      <c r="J45" s="154" t="s">
        <v>83</v>
      </c>
      <c r="K45" s="154" t="s">
        <v>84</v>
      </c>
      <c r="L45" s="154" t="s">
        <v>85</v>
      </c>
      <c r="M45" s="154" t="s">
        <v>1147</v>
      </c>
      <c r="N45" s="154" t="s">
        <v>1305</v>
      </c>
      <c r="O45" s="154" t="s">
        <v>1539</v>
      </c>
      <c r="P45" s="148" t="s">
        <v>1538</v>
      </c>
      <c r="Q45" s="154" t="s">
        <v>1540</v>
      </c>
      <c r="R45" s="154" t="s">
        <v>1541</v>
      </c>
      <c r="S45" s="154" t="s">
        <v>1542</v>
      </c>
      <c r="T45" s="154" t="s">
        <v>1543</v>
      </c>
      <c r="U45" s="154">
        <v>0</v>
      </c>
      <c r="V45" s="154" t="s">
        <v>1544</v>
      </c>
      <c r="W45" s="148" t="s">
        <v>638</v>
      </c>
      <c r="X45" s="154" t="s">
        <v>638</v>
      </c>
      <c r="Y45" s="154" t="s">
        <v>1545</v>
      </c>
      <c r="Z45" s="154" t="s">
        <v>1546</v>
      </c>
      <c r="AA45" s="154" t="s">
        <v>1547</v>
      </c>
      <c r="AB45" s="154" t="s">
        <v>639</v>
      </c>
      <c r="AC45" s="154" t="s">
        <v>1159</v>
      </c>
      <c r="AD45" s="154" t="s">
        <v>1031</v>
      </c>
      <c r="AE45" s="154">
        <v>2018</v>
      </c>
      <c r="AF45" s="154">
        <v>0</v>
      </c>
      <c r="AG45" s="154">
        <v>2018</v>
      </c>
      <c r="AH45" s="154">
        <v>0</v>
      </c>
      <c r="AI45" s="154">
        <v>0</v>
      </c>
      <c r="AJ45" s="154">
        <v>4</v>
      </c>
      <c r="AK45" s="154">
        <v>4</v>
      </c>
      <c r="AL45" s="220">
        <v>2</v>
      </c>
      <c r="AM45" s="154">
        <v>0</v>
      </c>
      <c r="AN45" s="146" t="s">
        <v>1144</v>
      </c>
      <c r="AO45" s="146" t="s">
        <v>1144</v>
      </c>
      <c r="AP45" s="146" t="s">
        <v>1144</v>
      </c>
      <c r="AQ45" s="146" t="s">
        <v>1144</v>
      </c>
      <c r="AR45" s="146" t="s">
        <v>1144</v>
      </c>
      <c r="AS45" s="150" t="s">
        <v>1144</v>
      </c>
      <c r="AT45" s="156">
        <v>0</v>
      </c>
      <c r="AU45" s="156">
        <v>0</v>
      </c>
      <c r="AV45" s="156">
        <v>4</v>
      </c>
      <c r="AW45" s="156">
        <v>4</v>
      </c>
      <c r="AX45" s="211">
        <v>2</v>
      </c>
      <c r="AY45" s="156">
        <v>0</v>
      </c>
      <c r="BD45" s="149">
        <v>0</v>
      </c>
      <c r="BJ45" s="149">
        <v>0</v>
      </c>
      <c r="BK45" s="146" t="s">
        <v>1144</v>
      </c>
      <c r="BL45" s="146" t="s">
        <v>1144</v>
      </c>
      <c r="BM45" s="146" t="s">
        <v>1144</v>
      </c>
      <c r="BN45" s="146" t="s">
        <v>1144</v>
      </c>
      <c r="BO45" s="146" t="s">
        <v>1144</v>
      </c>
      <c r="BP45" s="146" t="s">
        <v>1144</v>
      </c>
      <c r="BQ45" s="146" t="s">
        <v>1144</v>
      </c>
      <c r="BR45" s="146" t="s">
        <v>1144</v>
      </c>
      <c r="BS45" s="146" t="s">
        <v>1144</v>
      </c>
      <c r="BT45" s="146" t="s">
        <v>1144</v>
      </c>
      <c r="BU45" s="146" t="s">
        <v>1144</v>
      </c>
      <c r="BV45" s="146" t="s">
        <v>1144</v>
      </c>
      <c r="BW45" s="219" t="s">
        <v>1144</v>
      </c>
      <c r="BX45" s="219" t="s">
        <v>1144</v>
      </c>
      <c r="BY45" s="219" t="s">
        <v>1144</v>
      </c>
      <c r="BZ45" s="219">
        <v>1</v>
      </c>
      <c r="CA45" s="219" t="s">
        <v>1144</v>
      </c>
      <c r="CB45" s="219" t="s">
        <v>1144</v>
      </c>
      <c r="CC45" s="219" t="s">
        <v>1144</v>
      </c>
      <c r="CD45" s="219" t="s">
        <v>1144</v>
      </c>
      <c r="CE45" s="219" t="s">
        <v>1144</v>
      </c>
      <c r="CF45" s="219" t="s">
        <v>1144</v>
      </c>
      <c r="CG45" s="219" t="s">
        <v>1144</v>
      </c>
      <c r="CH45" s="219" t="s">
        <v>1144</v>
      </c>
      <c r="CI45" s="219" t="s">
        <v>1144</v>
      </c>
      <c r="CJ45" s="219" t="s">
        <v>1144</v>
      </c>
      <c r="CK45" s="219" t="s">
        <v>1144</v>
      </c>
      <c r="CL45" s="219" t="s">
        <v>1144</v>
      </c>
      <c r="CM45" s="219" t="s">
        <v>1144</v>
      </c>
      <c r="CN45" s="219" t="s">
        <v>1144</v>
      </c>
      <c r="CO45" s="219" t="s">
        <v>1144</v>
      </c>
      <c r="CP45" s="219" t="s">
        <v>1144</v>
      </c>
      <c r="CQ45" s="219" t="s">
        <v>1144</v>
      </c>
      <c r="CR45" s="219" t="s">
        <v>1144</v>
      </c>
      <c r="CS45" s="219" t="s">
        <v>1144</v>
      </c>
      <c r="CT45" s="219" t="s">
        <v>1144</v>
      </c>
      <c r="CU45" s="219" t="s">
        <v>1144</v>
      </c>
      <c r="CV45" s="219" t="s">
        <v>1144</v>
      </c>
      <c r="CW45" s="219" t="s">
        <v>1144</v>
      </c>
      <c r="CX45" s="219" t="s">
        <v>1144</v>
      </c>
      <c r="CY45" s="219" t="s">
        <v>1144</v>
      </c>
      <c r="CZ45" s="219" t="s">
        <v>1144</v>
      </c>
      <c r="DA45" s="219" t="s">
        <v>1144</v>
      </c>
      <c r="DB45" s="152" t="str">
        <f>IF(BW45="No Aplica","",$BW$5)&amp;IF(BX45="No Aplica","",$BX$5)&amp;IF(BY45="No Aplica","",$BY$5)&amp;IF(BZ45="No Aplica","",$BZ$5)&amp;IF(CA45="No Aplica","",$CA$5)&amp;IF(CB45="No Aplica","",CB45&amp;" ")&amp;IF(CC45="No Aplica","",CC45&amp;", ")&amp;IF(CD45="No Aplica","",$CD$5)&amp;IF(CE45="No Aplica","",$CE$5&amp;CE45&amp;", ")&amp;IF(CF45="No Aplica","",$CF$5)&amp;IF(CG45="No Aplica","",$CG$5)&amp;IF(CH45="No Aplica","",$CH$5)&amp;IF(CI45="No Aplica","",$CI$5)&amp;IF(CJ45="No Aplica","",$CJ$5)&amp;IF(CK45="No Aplica","",$CK$5)&amp;IF(CL45="No Aplica","",$CL$5)&amp;IF(CM45="No Aplica","",$CM$5)&amp;IF(CN45="No Aplica","",$CN$5)&amp;IF(CO45="No Aplica","",$CO$5)&amp;IF(CP45="No Aplica","",$CP$5)&amp;IF(CQ45="No Aplica","",$CQ$5)&amp;IF(CR45="No Aplica","",$CR$5)&amp;IF(CS45="No Aplica","",$CS$5)&amp;IF(CT45="No Aplica","",$CT$5)&amp;IF(CU45="No Aplica","",$CU$5)&amp;IF(CV45="No Aplica","",$CV$5)&amp;IF(CW45="No Aplica","",CW45&amp;", ")&amp;IF(CX45="No Aplica","",$CX$5&amp;CX45&amp;", ")&amp;IF(CY45="No Aplica","",$CY$5)&amp;IF(CZ45="No Aplica","",$CZ$5)&amp;IF(DA45="No Aplica","",$DA$5)</f>
        <v xml:space="preserve">Plan de Acción, </v>
      </c>
      <c r="DC45" s="149" t="str">
        <f t="shared" si="88"/>
        <v>El informe da cuenta de las acciones estrategicas lideradas  por la Subsecretaría Técnica con sus dependencias para el cumplimiento de los objetivos misionales en el desarrollo, la eficiencia y la innovación institucional,así como el relacionamiento internacional, la gestión documental,  la articulación interinstitucional a nivel Distrital y el liderazgo en los asuntos laborales en el marco de la negociación sindical.</v>
      </c>
      <c r="DD45" s="149" t="str">
        <f t="shared" si="88"/>
        <v>*Líneamientos, estrategias y productos.
* Asistencia a instancias.
* Hitos de la dependencia y sus áreas
* Desarrollo de informes, actas o registros.
* Relacionamiento internacional</v>
      </c>
      <c r="DE45" s="149" t="str">
        <f t="shared" si="88"/>
        <v>Consolidar y documentar la gestión y lineamientos estrategicos impartidos por la Subsecretaria Técnica hacia las dependencias , así como reflejar su participación en otras instancias o escenarios que por las funciones del cargo o por delegación de la Secretaria General ha realizado la dependencia.</v>
      </c>
      <c r="DF45" s="149" t="str">
        <f t="shared" si="88"/>
        <v>Actas.
Actos administrativos
Reporte presupuestal.
Listados de Asistencia.
Presentaciones.
Memorandos.
Informe Técnico.</v>
      </c>
      <c r="DG45" s="149" t="str">
        <f t="shared" si="88"/>
        <v>Suma</v>
      </c>
      <c r="DH45" s="149">
        <f t="shared" si="2"/>
        <v>2</v>
      </c>
      <c r="DI45" s="149">
        <f t="shared" si="3"/>
        <v>0</v>
      </c>
      <c r="DJ45" s="149">
        <f t="shared" si="4"/>
        <v>0</v>
      </c>
      <c r="DK45" s="149">
        <f t="shared" si="5"/>
        <v>1</v>
      </c>
      <c r="DL45" s="149">
        <f t="shared" si="6"/>
        <v>0</v>
      </c>
      <c r="DM45" s="149">
        <f t="shared" si="7"/>
        <v>0</v>
      </c>
      <c r="DN45" s="149">
        <f t="shared" si="36"/>
        <v>1</v>
      </c>
      <c r="DO45" s="149">
        <f t="shared" si="87"/>
        <v>0</v>
      </c>
      <c r="DP45" s="149">
        <f t="shared" si="87"/>
        <v>0</v>
      </c>
      <c r="DQ45" s="149">
        <f t="shared" si="87"/>
        <v>1</v>
      </c>
      <c r="DR45" s="149">
        <f t="shared" si="87"/>
        <v>0</v>
      </c>
      <c r="DS45" s="149">
        <f t="shared" si="87"/>
        <v>0</v>
      </c>
      <c r="DT45" s="149">
        <f t="shared" si="87"/>
        <v>1</v>
      </c>
      <c r="DU45" s="149">
        <f t="shared" si="89"/>
        <v>2</v>
      </c>
      <c r="DV45" s="149" t="str">
        <f t="shared" si="89"/>
        <v/>
      </c>
      <c r="DW45" s="149" t="str">
        <f t="shared" si="89"/>
        <v/>
      </c>
      <c r="DX45" s="149" t="str">
        <f t="shared" si="89"/>
        <v>N/A</v>
      </c>
      <c r="DY45" s="149" t="str">
        <f t="shared" si="89"/>
        <v>N/A</v>
      </c>
      <c r="DZ45" s="149" t="str">
        <f t="shared" si="89"/>
        <v>N/A</v>
      </c>
      <c r="EA45" s="149" t="str">
        <f t="shared" si="89"/>
        <v/>
      </c>
      <c r="EB45" s="149" t="str">
        <f t="shared" si="89"/>
        <v/>
      </c>
      <c r="EC45" s="149" t="str">
        <f t="shared" si="89"/>
        <v>N/A</v>
      </c>
      <c r="ED45" s="149" t="str">
        <f t="shared" si="89"/>
        <v>N/A</v>
      </c>
      <c r="EE45" s="149" t="str">
        <f t="shared" si="90"/>
        <v>N/A</v>
      </c>
      <c r="EF45" s="149">
        <f t="shared" si="90"/>
        <v>1</v>
      </c>
      <c r="EG45" s="149">
        <f t="shared" si="90"/>
        <v>1</v>
      </c>
      <c r="EH45" s="149" t="str">
        <f t="shared" si="90"/>
        <v xml:space="preserve">La Subsecretaria Técnica en conjunto con sus dependencias durante el primer trimestre de 2020, centro su liderazgo y gestión en las siguientes acciones:
• Elaboración de un diagnóstico de desempeño sectorial tomando como fuente de información los datos de: empleo público (SIDEAP), índice de desempeño Institucional- FURAG, índice de transparencia por Bogotá- ITB, plan anticorrupción y atención al ciudadano- PAAC, Bogotá te escucha y PREDIS.
• Lineamientos para laa estrategia de formación virtual para servidores públicos del Distrito Capital: se ofertaron dos cursos de formación: gobernanza pública (868 inscritos) y líderes de la cultura de integridad (694 inscritos).
• Teletrabajo: Con ocasión a la declaratoria de emergencia decretada en el país, la Administración Distrital impartió lineamientos para la implementación de la estrategia del Teletrabajo Extraordinario a través de la Circular 024 de marzo/2020. Se efectuó seguimiento y acompañamiento a las entidades en la implementación y adopción del modelo. Se emitió una cartilla para los servidores del Distrito de “Tips de trabajo en casa”.
• Acciones de relacionamiento Internacional: Se participó en la instalación de la mesa directiva de Marca Ciudad cuyo objetivo fue sentar las bases del plan de acción de cara a la actual administración. De otra parte, se resalta la participación de la administración en el evento convocado por la red de ciudades- C40, que representa a más de 700 millones de ciudadanos y un cuarto de la economía mundial y en Wise Waste Cities Campaign (WWCC), posicionando a Bogotá como líder global en el cumplimiento de los ODS.
• Transparencia: Se efectuó seguimiento y se presentó a las entidades distritales el análisis del estado del arte y documentación de la Política Pública de Transparencia, Integridad y no Tolerancia con la corrupción. Se inició el desarrollo de la iniciativa “Presupuesto ciudadano” para mejorar la entrega de información al ciudadano.
• Innovación- iBO: Presentar a la “Convocatoria Internacional de proyectos LABIMEX” para “Accesibilidad y autonomía de personas con discapacidad” el proyecto de innovación “Teletrabajo: un camino a la inclusión laboral”.  Se desarrolló la propuesta de la estrategia de Innovación Pública en el Distrito – iBO.
• Estrategia Distrital de mi MIPG: Se hizo la identificación y análisis de brechas en la implementación del modelo. Definir la alineación estratégica con el nuevo PDD (2020-2024). Elaboración de la propuesta del plan marco para MIPG y definición de las acciones estratégicas para el cuatrienio.
• Negociación Sindical: La Subsecretaria Técnica fue designada como miembro principal de la mesa distrital de negociación, se elaboró el "Protocolo negociación colectiva - empleados públicos del Distrito Capital", un documento de lineamientos y aspectos normativos a observar durante el proceso de negociación por parte de las entidades del distrito, entre otras acciones.
• Participación de instancias: La Subsecretaria Técnica participó en las instancias a las que fue convocada como delegada de la Administración Distrital, a saber: Consejo Distrital de Archivo y Junta Directiva de Invest In Bogota, entre los más representativos.
• Gerencia Proyecto 1125: Se efectuaron actividades de direccionamiento y seguimiento al cumplimiento de las metas programadas en este proyecto de inversión para 2020.
</v>
      </c>
      <c r="EI45" s="149" t="str">
        <f t="shared" si="90"/>
        <v>No se presentaron</v>
      </c>
      <c r="EJ45" s="149" t="str">
        <f t="shared" si="90"/>
        <v xml:space="preserve">Estrategia de implementación Distrital de MIPG alineada con el Plan Distrital de Desarrollo 2020-2024.
Elaboración de un diagnóstico de desempeño sectorial para el Distrito Capital.
Seguimiento de la Política Pública de Transparencia y entrega de los informes a la SDP .
Definición de la estrategia de innovación iBO.
Dar cumplimiento a las funciones establecidas en el decreto 425 de 2016  y directrices impartidas por la entidad.
Cumplimiento por parte del Distrito de la normativa en negociación colectiva que involucra la mesa Distrital de Negociación.
</v>
      </c>
      <c r="EK45" s="149" t="str">
        <f t="shared" si="90"/>
        <v/>
      </c>
      <c r="EL45" s="149" t="str">
        <f t="shared" si="90"/>
        <v/>
      </c>
      <c r="EM45" s="149" t="str">
        <f t="shared" si="90"/>
        <v>N/A</v>
      </c>
      <c r="EN45" s="149" t="str">
        <f t="shared" si="90"/>
        <v>N/A</v>
      </c>
      <c r="EO45" s="149" t="str">
        <f t="shared" si="91"/>
        <v>N/A</v>
      </c>
      <c r="EP45" s="149" t="str">
        <f t="shared" si="91"/>
        <v/>
      </c>
      <c r="EQ45" s="149" t="str">
        <f t="shared" si="91"/>
        <v/>
      </c>
      <c r="ER45" s="149" t="str">
        <f t="shared" si="91"/>
        <v>N/A</v>
      </c>
      <c r="ES45" s="149" t="str">
        <f t="shared" si="91"/>
        <v>N/A</v>
      </c>
      <c r="ET45" s="149" t="str">
        <f t="shared" si="91"/>
        <v>N/A</v>
      </c>
      <c r="EU45" s="149">
        <f t="shared" si="91"/>
        <v>1</v>
      </c>
      <c r="EV45" s="149">
        <f t="shared" si="91"/>
        <v>1</v>
      </c>
      <c r="EW45" s="149" t="str">
        <f t="shared" si="91"/>
        <v>La Subsecretaria Técnica en conjunto con sus dependencias durante el segundo trimestre de 2020 centró su liderazgo y gestión en las siguientes acciones:
• Diagnósticos de desempeño sectorial: Se coordinó la elaboración de presentaciones por sector de la administración en versión ejecutiva compilando el estado de los componentes del Tablero. Se realizó transferencia del conocimiento a la Dirección de Desarrollo Institucional con el fin de realizar socialización de los resultados con cada sector de la administración. 
• Formación virtual: Se realizó el ciclo académico en la Plataforma SOY 10 de los cursos de: Teletrabajo (1813 servidores aprobados); Introducción a las Políticas Públicas (286 servidores aprobados), Conceptualización de los Pilares de Transparencia, Integridad y Colaboración (334 servidores aprobados); Contextualización de los Pilares de Transparencia, Participación y Colaboración (554 servidores aprobados) y Supervisión de Contratación Estatal (366 servidores aprobados).
• Teletrabajo: Se llevó a cabo la socialización del Programa Teletrabajo y frente a los compromisos de la Política Pública Distrital de Gestión Integral de Talento Humano 2020 – 2030 y el Plan de Desarrollo Distrital 2020-2024 a las entidades distritales, se presentó la metodología de implementación. Así mismo, se aplicó y procesó los resultados de la encuesta “Yo me quedo en casa” realizada en los 15 sectores de la administración y a los órganos de control del Distrito. También se realizó un Facebook Live con el propósito de acercar más a la ciudadanía hacia las propuestas de trabajo desde casa en tiempos de COVID y finalmente se dispuso en la página web de la Secretaría General información de georreferenciación de los servidores del distrito con trabajo en casa y zonas críticas de contagio por COVID-19.
• Acciones de relacionamiento Internacional: DONATÓN BOGOTÁ SOLIDARIA EN CASA. Gracias a la labor de coordinación de la DDRI, y al trabajo de todas las entidades distritales que se unieron al proyecto de la Donatón, esta iniciativa se convirtió en la campaña más exitosa en la historia de Colombia en recaudar donaciones en un solo día, al haber logrado recaudar más de 51 mil millones de pesos, con aportes de 36.771 ciudadanos y más de 130 empresas, fundaciones y gobiernos extranjeros, en un lapso de 12 horas consecutivas.
• Transparencia: Se desarrollaron los análisis, observaciones y aportes en el tema de Transparencia, integridad y no tolerancia con la corrupción al documento de “Diagnóstico del plan de desarrollo 2020 – 2023”. Se consolidó la Estrategia de transparencia, integridad y lucha contra la corrupción a desarrollar en el Distrito Capital.
• Innovación- iBO: Se desarrolló el primer documento de acuerdos alrededor del Laboratorio de Innovación de Bogotá – iBO, que orienta las acciones de consolidación de esta iniciativa en el Plan Distrital de Desarrollo 2020 – 2023. Igualmente se avanzó en el prototipado de la estrategia de Presupuesto Ciudadano.
• Estrategia Distrital de mi MIPG:  Se acompañó en el segundo trimestre de la presente vigencia a la Dirección Distrital de Desarrollo Institucional, en su proceso de fortalecer la capacidad técnica institucional de las entidades distritales en la implementación y seguimiento del Modelo Integrado de Planeación y Gestión – MIPG, mediante la puesta en marcha de la estrategia distrital de MIPG. Se construyó un documento de comentarios al proyecto de plan de desarrollo y su documento técnico teniendo en cuenta el propósito No.5 y su logro No.30. Se coordinó la revisión del plan de desarrollo Distrital, Un Nuevo Contrato Social para la Bogotá del Siglo XXI para la identificación de acciones a ejecutar por parte del sector Gestión Pública y en especial de la Subsecretaría Técnica.
• Negociación Sindical: Se elaboró una matriz que consolida y relaciona los programas generales que reportaron los sectores en el Plan Distrital de Desarrollo 2020-2023, “un nuevo contrato social y ambiental para la Bogotá del siglo XXI” para cumplir el pacto laboral suscrito por la Alcaldesa en Campaña. De otra parte se informó a los sectores Distritales de las disposiciones en materia de negociación colectiva que impartió el Ministerio del Trabajo en conjunto con el DAFP.
•  Comisión Intersectorial de Gestión y Desempeño – SIG: El pasado 11 de mayo se realizó la primera sesión de la Comisión Intersectorial de Gestión y Desempeño.
• Participación de instancias: La Subsecretaria Técnica participó en las instancias a las que fue convocada como delegada de la Administración Distrital, a saber: Consejo Distrital de Archivo, Junta Directiva de Invest In Bogota y Consejo de Administración de la Caja de Vivienda Popular.
• Gerencia Proyecto 1125: Se efectuaron actividades de direccionamiento, seguimiento y cierre  de las metas programadas en este proyecto de inversión para 2020.</v>
      </c>
      <c r="EX45" s="149" t="str">
        <f t="shared" si="91"/>
        <v>No se presentaron</v>
      </c>
      <c r="EY45" s="149" t="str">
        <f t="shared" si="91"/>
        <v>Estrategia de implementación Distrital de MIPG alineada con el Plan Distrital de Desarrollo 2020-2023.
Conclusiones de diagnóstico de desempeño sectorial e informe para los sectores como insumo para formular  estrategias y acciones que disminuyan las brechas identificadas.
Consolidación de la Estrategia de transparencia, integridad y lucha contra la corrupción a desarrollar en el Distrito Capital.
Se definió en conjunto con la Alta Consejería de las TIC, la ruta de trabajo de iBO, que consta de las fases, actividades y productos a desarrollar en 2020 y perspectivas para su implementación en el marco del actual Plan Distrital de Desarrollo 2020 - 2023.
Se dio cumplimiento a las funciones establecidas en el Decreto 425 de 2016  y demás directrices impartidas por la entidad.</v>
      </c>
      <c r="EZ45" s="149">
        <f t="shared" si="91"/>
        <v>2</v>
      </c>
      <c r="FA45" s="149">
        <f t="shared" si="91"/>
        <v>2</v>
      </c>
      <c r="FB45" s="149" t="str">
        <f t="shared" si="91"/>
        <v/>
      </c>
      <c r="FC45" s="149" t="str">
        <f t="shared" si="91"/>
        <v/>
      </c>
      <c r="FD45" s="149" t="str">
        <f t="shared" si="92"/>
        <v/>
      </c>
      <c r="FE45" s="149" t="str">
        <f t="shared" si="92"/>
        <v/>
      </c>
      <c r="FF45" s="149" t="str">
        <f t="shared" si="92"/>
        <v/>
      </c>
      <c r="FG45" s="149" t="str">
        <f t="shared" si="92"/>
        <v/>
      </c>
      <c r="FH45" s="149" t="str">
        <f t="shared" si="92"/>
        <v/>
      </c>
      <c r="FI45" s="149" t="str">
        <f t="shared" si="92"/>
        <v/>
      </c>
      <c r="FJ45" s="149" t="str">
        <f t="shared" si="92"/>
        <v/>
      </c>
      <c r="FK45" s="149" t="str">
        <f t="shared" si="92"/>
        <v/>
      </c>
      <c r="FL45" s="149" t="str">
        <f t="shared" si="92"/>
        <v/>
      </c>
      <c r="FM45" s="149" t="str">
        <f t="shared" si="92"/>
        <v/>
      </c>
      <c r="FN45" s="149" t="str">
        <f t="shared" si="93"/>
        <v/>
      </c>
      <c r="FO45" s="149" t="str">
        <f t="shared" si="93"/>
        <v/>
      </c>
      <c r="FP45" s="149" t="str">
        <f t="shared" si="93"/>
        <v/>
      </c>
      <c r="FQ45" s="149" t="str">
        <f t="shared" si="93"/>
        <v/>
      </c>
      <c r="FR45" s="149" t="str">
        <f t="shared" si="93"/>
        <v/>
      </c>
      <c r="FS45" s="149" t="str">
        <f t="shared" si="93"/>
        <v/>
      </c>
      <c r="FT45" s="149" t="str">
        <f t="shared" si="93"/>
        <v/>
      </c>
      <c r="FU45" s="149" t="str">
        <f t="shared" si="93"/>
        <v/>
      </c>
      <c r="FV45" s="149" t="str">
        <f t="shared" si="93"/>
        <v/>
      </c>
      <c r="FW45" s="149" t="str">
        <f t="shared" si="93"/>
        <v/>
      </c>
      <c r="FX45" s="149" t="str">
        <f t="shared" si="94"/>
        <v/>
      </c>
      <c r="FY45" s="149" t="str">
        <f t="shared" si="94"/>
        <v/>
      </c>
      <c r="FZ45" s="149" t="str">
        <f t="shared" si="94"/>
        <v/>
      </c>
      <c r="GA45" s="149" t="str">
        <f t="shared" si="94"/>
        <v/>
      </c>
      <c r="GB45" s="149" t="str">
        <f t="shared" si="94"/>
        <v/>
      </c>
      <c r="GC45" s="149" t="str">
        <f t="shared" si="94"/>
        <v/>
      </c>
      <c r="GD45" s="149" t="str">
        <f t="shared" si="94"/>
        <v/>
      </c>
      <c r="GE45" s="149" t="str">
        <f t="shared" si="94"/>
        <v/>
      </c>
      <c r="GF45" s="149" t="str">
        <f t="shared" si="33"/>
        <v/>
      </c>
      <c r="GG45" s="149" t="str">
        <f t="shared" si="22"/>
        <v/>
      </c>
      <c r="GH45" s="149">
        <f t="shared" si="23"/>
        <v>1</v>
      </c>
      <c r="GI45" s="149" t="str">
        <f t="shared" si="24"/>
        <v/>
      </c>
      <c r="GJ45" s="149" t="str">
        <f t="shared" si="25"/>
        <v/>
      </c>
      <c r="GK45" s="149">
        <f t="shared" si="34"/>
        <v>1</v>
      </c>
      <c r="GL45" s="149">
        <f t="shared" si="15"/>
        <v>0</v>
      </c>
      <c r="GM45" s="149">
        <f t="shared" si="16"/>
        <v>0</v>
      </c>
      <c r="GN45" s="149">
        <f t="shared" si="17"/>
        <v>50</v>
      </c>
      <c r="GO45" s="149">
        <f t="shared" si="18"/>
        <v>0</v>
      </c>
      <c r="GP45" s="149">
        <f t="shared" si="19"/>
        <v>0</v>
      </c>
      <c r="GQ45" s="149">
        <f t="shared" si="19"/>
        <v>50</v>
      </c>
      <c r="GR45" s="153">
        <f>+IF(DG45="Suma",SUM(GL45:GQ45),AVERAGE(GL45:GQ45))</f>
        <v>100</v>
      </c>
      <c r="GS45" s="149" t="str">
        <f t="shared" si="37"/>
        <v>No Programó</v>
      </c>
      <c r="GT45" s="149" t="str">
        <f>+IF(OR($A45=52,$A45=124),1,IFERROR(IF($X45="Creciente",IF($AB45="Número",SUM($GL45:GM45)/SUM($DO45:DP45)*($AX45-$AW45),SUM($GL45:GM45)/SUM($DO45:DP45))*($AX45-$AW45),IF($DG45="Creciente",GM45*GM45/GM45,IF(AND($DG45="Constante",$AB45="Porcentaje"),AVERAGEIF($GL45:GM45,"&lt;&gt;0")/AVERAGEIF($DO45:DP45,"&lt;&gt;0")*100,SUM($GL45:GM45)/SUM($DO45:DP45)*$DU45))),GS45))</f>
        <v>No Programó</v>
      </c>
      <c r="GU45" s="149">
        <f>+IF(OR($A45=52,$A45=124),1,IFERROR(IF($X45="Creciente",IF($AB45="Número",SUM($GL45:GN45)/SUM($DO45:DQ45)*($AX45-$AW45),SUM($GL45:GN45)/SUM($DO45:DQ45))*($AX45-$AW45),IF($DG45="Creciente",GN45*GN45/GN45,IF(AND($DG45="Constante",$AB45="Porcentaje"),AVERAGEIF($GL45:GN45,"&lt;&gt;0")/AVERAGEIF($DO45:DQ45,"&lt;&gt;0")*100,SUM($GL45:GN45)/SUM($DO45:DQ45)*$DU45))),GT45))</f>
        <v>100</v>
      </c>
      <c r="GV45" s="149">
        <f>+IF(OR($A45=52,$A45=124),1,IFERROR(IF($X45="Creciente",IF($AB45="Número",SUM($GL45:GO45)/SUM($DO45:DR45)*($AX45-$AW45),SUM($GL45:GO45)/SUM($DO45:DR45))*($AX45-$AW45),IF($DG45="Creciente",GO45*GO45/GO45,IF(AND($DG45="Constante",$AB45="Porcentaje"),AVERAGEIF($GL45:GO45,"&lt;&gt;0")/AVERAGEIF($DO45:DR45,"&lt;&gt;0")*100,SUM($GL45:GO45)/SUM($DO45:DR45)*$DU45))),GU45))</f>
        <v>100</v>
      </c>
      <c r="GW45" s="149">
        <f>+IF(OR($A45=52,$A45=124),1,IFERROR(IF($X45="Creciente",IF($AB45="Número",SUM($GL45:GP45)/SUM($DO45:DS45)*($AX45-$AW45),SUM($GL45:GP45)/SUM($DO45:DS45))*($AX45-$AW45),IF($DG45="Creciente",GP45*GP45/GP45,IF(AND($DG45="Constante",$AB45="Porcentaje"),AVERAGEIF($GL45:GP45,"&lt;&gt;0")/AVERAGEIF($DO45:DS45,"&lt;&gt;0")*100,SUM($GL45:GP45)/SUM($DO45:DS45)*$DU45))),GV45))</f>
        <v>100</v>
      </c>
      <c r="GX45" s="149">
        <f>+IF(OR($A45=52,$A45=124),1,IFERROR(IF($X45="Creciente",IF($AB45="Número",SUM($GL45:GQ45)/SUM($DO45:DT45)*($AX45-$AW45),SUM($GL45:GQ45)/SUM($DO45:DT45))*($AX45-$AW45),IF($DG45="Creciente",GQ45*GQ45/GQ45,IF(AND($DG45="Constante",$AB45="Porcentaje"),AVERAGEIF($GL45:GQ45,"&lt;&gt;0")/AVERAGEIF($DO45:DT45,"&lt;&gt;0")*100,SUM($GL45:GQ45)/SUM($DO45:DT45)*$DU45))),GW45))</f>
        <v>100</v>
      </c>
      <c r="GY45" s="149" t="str">
        <f t="shared" si="28"/>
        <v>El informe da cuenta de las acciones estrategicas lideradas  por la Subsecretaría Técnica con sus dependencias para el cumplimiento de los objetivos misionales en el desarrollo, la eficiencia y la innovación institucional,así como el relacionamiento internacional, la gestión documental,  la articulación interinstitucional a nivel Distrital y el liderazgo en los asuntos laborales en el marco de la negociación sindical.</v>
      </c>
      <c r="GZ45" s="149" t="str">
        <f t="shared" si="29"/>
        <v>*Líneamientos, estrategias y productos.
* Asistencia a instancias.
* Hitos de la dependencia y sus áreas
* Desarrollo de informes, actas o registros.
* Relacionamiento internacional</v>
      </c>
      <c r="HA45" s="149" t="str">
        <f t="shared" si="30"/>
        <v>Consolidar y documentar la gestión y lineamientos estrategicos impartidos por la Subsecretaria Técnica hacia las dependencias , así como reflejar su participación en otras instancias o escenarios que por las funciones del cargo o por delegación de la Secretaria General ha realizado la dependencia.</v>
      </c>
      <c r="HB45" s="149" t="str">
        <f t="shared" si="31"/>
        <v>Actas.
Actos administrativos
Reporte presupuestal.
Listados de Asistencia.
Presentaciones.
Memorandos.
Informe Técnico.</v>
      </c>
      <c r="HC45" s="149" t="str">
        <f t="shared" si="85"/>
        <v>Cumple</v>
      </c>
      <c r="HD45" s="149" t="str">
        <f t="shared" si="85"/>
        <v>Cumplido</v>
      </c>
      <c r="HE45" s="149" t="str">
        <f t="shared" si="85"/>
        <v>Adecuado</v>
      </c>
      <c r="HF45" s="149" t="str">
        <f t="shared" si="85"/>
        <v>Coherente</v>
      </c>
      <c r="HG45" s="149" t="str">
        <f t="shared" si="85"/>
        <v>Concuerda</v>
      </c>
      <c r="HH45" s="149" t="str">
        <f t="shared" si="85"/>
        <v>No aplica</v>
      </c>
      <c r="HI45" s="149" t="str">
        <f t="shared" si="85"/>
        <v>No aplica</v>
      </c>
      <c r="HJ45" s="149" t="str">
        <f t="shared" si="85"/>
        <v>Adecuado</v>
      </c>
      <c r="HK45" s="149" t="str">
        <f t="shared" si="85"/>
        <v>Oportuna</v>
      </c>
      <c r="HL45" s="149" t="str">
        <f t="shared" si="85"/>
        <v>Ninguna</v>
      </c>
      <c r="HM45" s="149" t="str">
        <f t="shared" si="86"/>
        <v>Fernando Escobar Mendoza</v>
      </c>
      <c r="HN45" s="149">
        <f t="shared" si="86"/>
        <v>0</v>
      </c>
      <c r="HO45" s="149">
        <f t="shared" si="86"/>
        <v>0</v>
      </c>
      <c r="HP45" s="149">
        <f t="shared" si="86"/>
        <v>0</v>
      </c>
      <c r="HQ45" s="149">
        <f t="shared" si="86"/>
        <v>0</v>
      </c>
      <c r="HR45" s="149">
        <f t="shared" si="86"/>
        <v>0</v>
      </c>
      <c r="HS45" s="149">
        <f t="shared" si="86"/>
        <v>0</v>
      </c>
      <c r="HT45" s="149">
        <f t="shared" si="86"/>
        <v>0</v>
      </c>
      <c r="HU45" s="149">
        <f t="shared" si="86"/>
        <v>0</v>
      </c>
      <c r="HV45" s="149">
        <f t="shared" si="86"/>
        <v>0</v>
      </c>
      <c r="HW45" s="149">
        <f t="shared" si="86"/>
        <v>0</v>
      </c>
      <c r="HX45" s="149">
        <f t="shared" si="86"/>
        <v>0</v>
      </c>
    </row>
    <row r="46" spans="1:241" s="149" customFormat="1" x14ac:dyDescent="0.3">
      <c r="A46" s="225" t="s">
        <v>374</v>
      </c>
      <c r="B46" s="146" t="s">
        <v>1144</v>
      </c>
      <c r="C46" s="146" t="s">
        <v>1144</v>
      </c>
      <c r="D46" s="146" t="s">
        <v>1144</v>
      </c>
      <c r="E46" s="146" t="s">
        <v>1144</v>
      </c>
      <c r="F46" s="136" t="s">
        <v>1548</v>
      </c>
      <c r="G46" s="146" t="s">
        <v>1144</v>
      </c>
      <c r="H46" s="146" t="s">
        <v>1144</v>
      </c>
      <c r="I46" s="149" t="s">
        <v>1146</v>
      </c>
      <c r="J46" s="154" t="s">
        <v>127</v>
      </c>
      <c r="K46" s="154" t="s">
        <v>1549</v>
      </c>
      <c r="L46" s="154" t="s">
        <v>129</v>
      </c>
      <c r="M46" s="154" t="s">
        <v>1478</v>
      </c>
      <c r="N46" s="154" t="s">
        <v>1479</v>
      </c>
      <c r="O46" s="154" t="s">
        <v>1480</v>
      </c>
      <c r="P46" s="148" t="s">
        <v>1548</v>
      </c>
      <c r="Q46" s="154" t="s">
        <v>1550</v>
      </c>
      <c r="R46" s="166">
        <v>0</v>
      </c>
      <c r="S46" s="154" t="s">
        <v>1551</v>
      </c>
      <c r="T46" s="154" t="s">
        <v>1552</v>
      </c>
      <c r="U46" s="154" t="s">
        <v>1553</v>
      </c>
      <c r="V46" s="154" t="s">
        <v>1554</v>
      </c>
      <c r="W46" s="148" t="s">
        <v>638</v>
      </c>
      <c r="X46" s="154" t="s">
        <v>638</v>
      </c>
      <c r="Y46" s="154"/>
      <c r="Z46" s="154" t="s">
        <v>1555</v>
      </c>
      <c r="AA46" s="154" t="s">
        <v>1556</v>
      </c>
      <c r="AB46" s="154" t="s">
        <v>602</v>
      </c>
      <c r="AC46" s="154" t="s">
        <v>1557</v>
      </c>
      <c r="AD46" s="154" t="s">
        <v>1160</v>
      </c>
      <c r="AE46" s="154">
        <v>2018</v>
      </c>
      <c r="AF46" s="154">
        <v>0</v>
      </c>
      <c r="AG46" s="154">
        <v>2018</v>
      </c>
      <c r="AH46" s="154">
        <v>0</v>
      </c>
      <c r="AI46" s="154">
        <v>0</v>
      </c>
      <c r="AJ46" s="154">
        <v>0</v>
      </c>
      <c r="AK46" s="154">
        <v>1</v>
      </c>
      <c r="AL46" s="214">
        <v>1</v>
      </c>
      <c r="AM46" s="154">
        <v>0</v>
      </c>
      <c r="AN46" s="146" t="s">
        <v>1144</v>
      </c>
      <c r="AO46" s="146" t="s">
        <v>1144</v>
      </c>
      <c r="AP46" s="146" t="s">
        <v>1144</v>
      </c>
      <c r="AQ46" s="146" t="s">
        <v>1144</v>
      </c>
      <c r="AR46" s="146" t="s">
        <v>1144</v>
      </c>
      <c r="AS46" s="150" t="s">
        <v>1144</v>
      </c>
      <c r="AT46" s="232">
        <v>0</v>
      </c>
      <c r="AU46" s="232">
        <v>0</v>
      </c>
      <c r="AV46" s="232">
        <v>0</v>
      </c>
      <c r="AW46" s="232">
        <v>100</v>
      </c>
      <c r="AX46" s="211">
        <v>100</v>
      </c>
      <c r="AY46" s="232">
        <v>0</v>
      </c>
      <c r="BD46" s="149">
        <v>0</v>
      </c>
      <c r="BJ46" s="149">
        <v>0</v>
      </c>
      <c r="BK46" s="146" t="s">
        <v>1144</v>
      </c>
      <c r="BL46" s="146" t="s">
        <v>1144</v>
      </c>
      <c r="BM46" s="146" t="s">
        <v>1144</v>
      </c>
      <c r="BN46" s="146" t="s">
        <v>1144</v>
      </c>
      <c r="BO46" s="146" t="s">
        <v>1144</v>
      </c>
      <c r="BP46" s="146" t="s">
        <v>1144</v>
      </c>
      <c r="BQ46" s="146" t="s">
        <v>1144</v>
      </c>
      <c r="BR46" s="146" t="s">
        <v>1144</v>
      </c>
      <c r="BS46" s="146" t="s">
        <v>1144</v>
      </c>
      <c r="BT46" s="146" t="s">
        <v>1144</v>
      </c>
      <c r="BU46" s="146" t="s">
        <v>1144</v>
      </c>
      <c r="BV46" s="146" t="s">
        <v>1144</v>
      </c>
      <c r="BW46" s="154" t="s">
        <v>1144</v>
      </c>
      <c r="BX46" s="154" t="s">
        <v>1144</v>
      </c>
      <c r="BY46" s="154" t="s">
        <v>1144</v>
      </c>
      <c r="BZ46" s="154">
        <v>1</v>
      </c>
      <c r="CA46" s="154" t="s">
        <v>1144</v>
      </c>
      <c r="CB46" s="154" t="s">
        <v>1144</v>
      </c>
      <c r="CC46" s="154" t="s">
        <v>1144</v>
      </c>
      <c r="CD46" s="154">
        <v>1</v>
      </c>
      <c r="CE46" s="154" t="s">
        <v>281</v>
      </c>
      <c r="CF46" s="154" t="s">
        <v>1144</v>
      </c>
      <c r="CG46" s="154" t="s">
        <v>1144</v>
      </c>
      <c r="CH46" s="154" t="s">
        <v>1144</v>
      </c>
      <c r="CI46" s="154" t="s">
        <v>1144</v>
      </c>
      <c r="CJ46" s="154" t="s">
        <v>1144</v>
      </c>
      <c r="CK46" s="154" t="s">
        <v>1144</v>
      </c>
      <c r="CL46" s="154" t="s">
        <v>1144</v>
      </c>
      <c r="CM46" s="154" t="s">
        <v>1144</v>
      </c>
      <c r="CN46" s="154" t="s">
        <v>1144</v>
      </c>
      <c r="CO46" s="154" t="s">
        <v>1144</v>
      </c>
      <c r="CP46" s="154" t="s">
        <v>1144</v>
      </c>
      <c r="CQ46" s="154" t="s">
        <v>1144</v>
      </c>
      <c r="CR46" s="154" t="s">
        <v>1144</v>
      </c>
      <c r="CS46" s="154" t="s">
        <v>1144</v>
      </c>
      <c r="CT46" s="154" t="s">
        <v>1144</v>
      </c>
      <c r="CU46" s="154" t="s">
        <v>1144</v>
      </c>
      <c r="CV46" s="154" t="s">
        <v>1144</v>
      </c>
      <c r="CW46" s="154" t="s">
        <v>1144</v>
      </c>
      <c r="CX46" s="154" t="s">
        <v>1144</v>
      </c>
      <c r="CY46" s="154" t="s">
        <v>1144</v>
      </c>
      <c r="CZ46" s="154" t="s">
        <v>1144</v>
      </c>
      <c r="DA46" s="154" t="s">
        <v>1144</v>
      </c>
      <c r="DB46" s="152" t="str">
        <f t="shared" si="32"/>
        <v xml:space="preserve">Plan de Acción, SGC, PROCESO: Gestión de Políticas públicas Distritales, </v>
      </c>
      <c r="DC46" s="149">
        <f t="shared" si="88"/>
        <v>0</v>
      </c>
      <c r="DD46" s="149">
        <f t="shared" si="88"/>
        <v>0</v>
      </c>
      <c r="DE46" s="149" t="str">
        <f t="shared" si="88"/>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
      <c r="DF46" s="149" t="str">
        <f t="shared" si="88"/>
        <v>Informe que contiene los resultados de la evaluación de implementación de la Política Pública de Servicio a la Ciudadanía, con corte a 31 de diciembre de 2019</v>
      </c>
      <c r="DG46" s="149" t="str">
        <f t="shared" si="88"/>
        <v>Suma</v>
      </c>
      <c r="DH46" s="149">
        <f t="shared" si="2"/>
        <v>1</v>
      </c>
      <c r="DI46" s="149">
        <f t="shared" si="3"/>
        <v>0</v>
      </c>
      <c r="DJ46" s="149">
        <f t="shared" si="4"/>
        <v>0</v>
      </c>
      <c r="DK46" s="149">
        <f t="shared" si="5"/>
        <v>0</v>
      </c>
      <c r="DL46" s="149">
        <f t="shared" si="6"/>
        <v>0</v>
      </c>
      <c r="DM46" s="149">
        <f t="shared" si="7"/>
        <v>0</v>
      </c>
      <c r="DN46" s="149">
        <f t="shared" si="36"/>
        <v>1</v>
      </c>
      <c r="DO46" s="149">
        <f t="shared" si="87"/>
        <v>0</v>
      </c>
      <c r="DP46" s="149">
        <f t="shared" si="87"/>
        <v>0</v>
      </c>
      <c r="DQ46" s="149">
        <f t="shared" si="87"/>
        <v>0</v>
      </c>
      <c r="DR46" s="149">
        <f t="shared" si="87"/>
        <v>0</v>
      </c>
      <c r="DS46" s="149">
        <f t="shared" si="87"/>
        <v>0</v>
      </c>
      <c r="DT46" s="149">
        <f t="shared" si="87"/>
        <v>100</v>
      </c>
      <c r="DU46" s="149">
        <f t="shared" si="89"/>
        <v>100</v>
      </c>
      <c r="DV46" s="149">
        <f t="shared" si="89"/>
        <v>0</v>
      </c>
      <c r="DW46" s="149">
        <f t="shared" si="89"/>
        <v>0</v>
      </c>
      <c r="DX46" s="149">
        <f t="shared" si="89"/>
        <v>0</v>
      </c>
      <c r="DY46" s="149" t="str">
        <f t="shared" si="89"/>
        <v>N/A</v>
      </c>
      <c r="DZ46" s="149" t="str">
        <f t="shared" si="89"/>
        <v>N/A</v>
      </c>
      <c r="EA46" s="149">
        <f t="shared" si="89"/>
        <v>0</v>
      </c>
      <c r="EB46" s="149">
        <f t="shared" si="89"/>
        <v>0</v>
      </c>
      <c r="EC46" s="149">
        <f t="shared" si="89"/>
        <v>0</v>
      </c>
      <c r="ED46" s="149" t="str">
        <f t="shared" si="89"/>
        <v>N/A</v>
      </c>
      <c r="EE46" s="149" t="str">
        <f t="shared" si="90"/>
        <v>N/A</v>
      </c>
      <c r="EF46" s="149">
        <f t="shared" si="90"/>
        <v>0</v>
      </c>
      <c r="EG46" s="149">
        <f t="shared" si="90"/>
        <v>0</v>
      </c>
      <c r="EH46" s="149" t="str">
        <f t="shared" si="90"/>
        <v>Se solicitó el reporte de avance o cumplimiento de indicadores de la PPDSC, con corte a 31 de diciembre de 2019 a las entidades participantes, de acuerdo a lo solicitado por la Secretaría Distrital de Planeación.</v>
      </c>
      <c r="EI46" s="149" t="str">
        <f t="shared" si="90"/>
        <v>N/A</v>
      </c>
      <c r="EJ46" s="149" t="str">
        <f t="shared" si="90"/>
        <v>N/A</v>
      </c>
      <c r="EK46" s="149">
        <f t="shared" si="90"/>
        <v>1</v>
      </c>
      <c r="EL46" s="149">
        <f t="shared" si="90"/>
        <v>1</v>
      </c>
      <c r="EM46" s="149" t="str">
        <f t="shared" si="90"/>
        <v>De acuerdo al cronograma de reporte de Políticas Públicas, el 30 de abril de 2020 se envió reporte de avance con corte al 31 de diciembre de 2019, a la Secretaría Distrital de Planeación.</v>
      </c>
      <c r="EN46" s="149" t="str">
        <f t="shared" si="90"/>
        <v>N/A</v>
      </c>
      <c r="EO46" s="149" t="str">
        <f t="shared" si="91"/>
        <v>Entregar  la información de avance y cumplimiento del Plan de Acción de la PPDSC; lo cual constituye información oficial que puede ser de conocimiento de la ciudadanía, asi como de todas las entidades y entes de control que lo requieran</v>
      </c>
      <c r="EP46" s="149">
        <f t="shared" si="91"/>
        <v>0</v>
      </c>
      <c r="EQ46" s="149">
        <f t="shared" si="91"/>
        <v>0</v>
      </c>
      <c r="ER46" s="149">
        <f t="shared" si="91"/>
        <v>0</v>
      </c>
      <c r="ES46" s="149" t="str">
        <f t="shared" si="91"/>
        <v>N/A</v>
      </c>
      <c r="ET46" s="149" t="str">
        <f t="shared" si="91"/>
        <v>N/A</v>
      </c>
      <c r="EU46" s="149">
        <f t="shared" si="91"/>
        <v>0</v>
      </c>
      <c r="EV46" s="149">
        <f t="shared" si="91"/>
        <v>0</v>
      </c>
      <c r="EW46" s="149">
        <f t="shared" si="91"/>
        <v>0</v>
      </c>
      <c r="EX46" s="149" t="str">
        <f t="shared" si="91"/>
        <v>N/A</v>
      </c>
      <c r="EY46" s="149" t="str">
        <f t="shared" si="91"/>
        <v>N/A</v>
      </c>
      <c r="EZ46" s="149">
        <f t="shared" si="91"/>
        <v>1</v>
      </c>
      <c r="FA46" s="149">
        <f t="shared" si="91"/>
        <v>1</v>
      </c>
      <c r="FB46" s="149" t="str">
        <f t="shared" si="91"/>
        <v/>
      </c>
      <c r="FC46" s="149" t="str">
        <f t="shared" si="91"/>
        <v/>
      </c>
      <c r="FD46" s="149" t="str">
        <f t="shared" si="92"/>
        <v/>
      </c>
      <c r="FE46" s="149" t="str">
        <f t="shared" si="92"/>
        <v/>
      </c>
      <c r="FF46" s="149" t="str">
        <f t="shared" si="92"/>
        <v/>
      </c>
      <c r="FG46" s="149" t="str">
        <f t="shared" si="92"/>
        <v/>
      </c>
      <c r="FH46" s="149" t="str">
        <f t="shared" si="92"/>
        <v/>
      </c>
      <c r="FI46" s="149" t="str">
        <f t="shared" si="92"/>
        <v/>
      </c>
      <c r="FJ46" s="149" t="str">
        <f t="shared" si="92"/>
        <v/>
      </c>
      <c r="FK46" s="149" t="str">
        <f t="shared" si="92"/>
        <v/>
      </c>
      <c r="FL46" s="149" t="str">
        <f t="shared" si="92"/>
        <v/>
      </c>
      <c r="FM46" s="149" t="str">
        <f t="shared" si="92"/>
        <v/>
      </c>
      <c r="FN46" s="149" t="str">
        <f t="shared" si="93"/>
        <v/>
      </c>
      <c r="FO46" s="149" t="str">
        <f t="shared" si="93"/>
        <v/>
      </c>
      <c r="FP46" s="149" t="str">
        <f t="shared" si="93"/>
        <v/>
      </c>
      <c r="FQ46" s="149" t="str">
        <f t="shared" si="93"/>
        <v/>
      </c>
      <c r="FR46" s="149" t="str">
        <f t="shared" si="93"/>
        <v/>
      </c>
      <c r="FS46" s="149" t="str">
        <f t="shared" si="93"/>
        <v/>
      </c>
      <c r="FT46" s="149" t="str">
        <f t="shared" si="93"/>
        <v/>
      </c>
      <c r="FU46" s="149" t="str">
        <f t="shared" si="93"/>
        <v/>
      </c>
      <c r="FV46" s="149" t="str">
        <f t="shared" si="93"/>
        <v/>
      </c>
      <c r="FW46" s="149" t="str">
        <f t="shared" si="93"/>
        <v/>
      </c>
      <c r="FX46" s="149" t="str">
        <f t="shared" si="94"/>
        <v/>
      </c>
      <c r="FY46" s="149" t="str">
        <f t="shared" si="94"/>
        <v/>
      </c>
      <c r="FZ46" s="149" t="str">
        <f t="shared" si="94"/>
        <v/>
      </c>
      <c r="GA46" s="149" t="str">
        <f t="shared" si="94"/>
        <v/>
      </c>
      <c r="GB46" s="149" t="str">
        <f t="shared" si="94"/>
        <v/>
      </c>
      <c r="GC46" s="149" t="str">
        <f t="shared" si="94"/>
        <v/>
      </c>
      <c r="GD46" s="149" t="str">
        <f t="shared" si="94"/>
        <v/>
      </c>
      <c r="GE46" s="149" t="str">
        <f t="shared" si="94"/>
        <v/>
      </c>
      <c r="GF46" s="149">
        <f t="shared" si="33"/>
        <v>0</v>
      </c>
      <c r="GG46" s="149">
        <f t="shared" si="22"/>
        <v>0</v>
      </c>
      <c r="GH46" s="149">
        <f t="shared" si="23"/>
        <v>0</v>
      </c>
      <c r="GI46" s="149">
        <f t="shared" si="24"/>
        <v>1</v>
      </c>
      <c r="GJ46" s="149">
        <f t="shared" si="25"/>
        <v>0</v>
      </c>
      <c r="GK46" s="149">
        <f t="shared" si="34"/>
        <v>1</v>
      </c>
      <c r="GL46" s="149">
        <f t="shared" si="15"/>
        <v>0</v>
      </c>
      <c r="GM46" s="149">
        <f t="shared" si="16"/>
        <v>0</v>
      </c>
      <c r="GN46" s="149">
        <f t="shared" si="17"/>
        <v>0</v>
      </c>
      <c r="GO46" s="149">
        <f t="shared" si="18"/>
        <v>100</v>
      </c>
      <c r="GP46" s="149">
        <f t="shared" si="19"/>
        <v>0</v>
      </c>
      <c r="GQ46" s="149">
        <f t="shared" si="19"/>
        <v>0</v>
      </c>
      <c r="GR46" s="153">
        <f>+IF(DG46="Suma",SUM(GL46:GQ46),AVERAGE(GL46:GQ46))</f>
        <v>100</v>
      </c>
      <c r="GS46" s="149" t="str">
        <f t="shared" si="37"/>
        <v>No Programó</v>
      </c>
      <c r="GT46" s="149" t="str">
        <f>+IF(OR($A46=52,$A46=124),1,IFERROR(IF($X46="Creciente",IF($AB46="Número",SUM($GL46:GM46)/SUM($DO46:DP46)*($AX46-$AW46),SUM($GL46:GM46)/SUM($DO46:DP46))*($AX46-$AW46),IF($DG46="Creciente",GM46*GM46/GM46,IF(AND($DG46="Constante",$AB46="Porcentaje"),AVERAGEIF($GL46:GM46,"&lt;&gt;0")/AVERAGEIF($DO46:DP46,"&lt;&gt;0")*100,SUM($GL46:GM46)/SUM($DO46:DP46)*$DU46))),GS46))</f>
        <v>No Programó</v>
      </c>
      <c r="GU46" s="149" t="str">
        <f>+IF(OR($A46=52,$A46=124),1,IFERROR(IF($X46="Creciente",IF($AB46="Número",SUM($GL46:GN46)/SUM($DO46:DQ46)*($AX46-$AW46),SUM($GL46:GN46)/SUM($DO46:DQ46))*($AX46-$AW46),IF($DG46="Creciente",GN46*GN46/GN46,IF(AND($DG46="Constante",$AB46="Porcentaje"),AVERAGEIF($GL46:GN46,"&lt;&gt;0")/AVERAGEIF($DO46:DQ46,"&lt;&gt;0")*100,SUM($GL46:GN46)/SUM($DO46:DQ46)*$DU46))),GT46))</f>
        <v>No Programó</v>
      </c>
      <c r="GV46" s="149" t="str">
        <f>+IF(OR($A46=52,$A46=124),1,IFERROR(IF($X46="Creciente",IF($AB46="Número",SUM($GL46:GO46)/SUM($DO46:DR46)*($AX46-$AW46),SUM($GL46:GO46)/SUM($DO46:DR46))*($AX46-$AW46),IF($DG46="Creciente",GO46*GO46/GO46,IF(AND($DG46="Constante",$AB46="Porcentaje"),AVERAGEIF($GL46:GO46,"&lt;&gt;0")/AVERAGEIF($DO46:DR46,"&lt;&gt;0")*100,SUM($GL46:GO46)/SUM($DO46:DR46)*$DU46))),GU46))</f>
        <v>No Programó</v>
      </c>
      <c r="GW46" s="149" t="str">
        <f>+IF(OR($A46=52,$A46=124),1,IFERROR(IF($X46="Creciente",IF($AB46="Número",SUM($GL46:GP46)/SUM($DO46:DS46)*($AX46-$AW46),SUM($GL46:GP46)/SUM($DO46:DS46))*($AX46-$AW46),IF($DG46="Creciente",GP46*GP46/GP46,IF(AND($DG46="Constante",$AB46="Porcentaje"),AVERAGEIF($GL46:GP46,"&lt;&gt;0")/AVERAGEIF($DO46:DS46,"&lt;&gt;0")*100,SUM($GL46:GP46)/SUM($DO46:DS46)*$DU46))),GV46))</f>
        <v>No Programó</v>
      </c>
      <c r="GX46" s="149">
        <f>+IF(OR($A46=52,$A46=124),1,IFERROR(IF($X46="Creciente",IF($AB46="Número",SUM($GL46:GQ46)/SUM($DO46:DT46)*($AX46-$AW46),SUM($GL46:GQ46)/SUM($DO46:DT46))*($AX46-$AW46),IF($DG46="Creciente",GQ46*GQ46/GQ46,IF(AND($DG46="Constante",$AB46="Porcentaje"),AVERAGEIF($GL46:GQ46,"&lt;&gt;0")/AVERAGEIF($DO46:DT46,"&lt;&gt;0")*100,SUM($GL46:GQ46)/SUM($DO46:DT46)*$DU46))),GW46))</f>
        <v>100</v>
      </c>
      <c r="GY46" s="149">
        <f t="shared" si="28"/>
        <v>0</v>
      </c>
      <c r="GZ46" s="149">
        <f t="shared" si="29"/>
        <v>0</v>
      </c>
      <c r="HA46" s="149" t="str">
        <f t="shared" si="30"/>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
      <c r="HB46" s="149" t="str">
        <f t="shared" si="31"/>
        <v>Informe que contiene los resultados de la evaluación de implementación de la Política Pública de Servicio a la Ciudadanía, con corte a 31 de diciembre de 2019</v>
      </c>
      <c r="HC46" s="149" t="str">
        <f t="shared" ref="HC46:HL55" si="98">+VLOOKUP($A46,consolidado,MATCH(HC$5,consolidadofila,0),0)</f>
        <v>Cumple</v>
      </c>
      <c r="HD46" s="149" t="str">
        <f t="shared" si="98"/>
        <v>Anticipado</v>
      </c>
      <c r="HE46" s="149" t="str">
        <f t="shared" si="98"/>
        <v>Adecuado</v>
      </c>
      <c r="HF46" s="149" t="str">
        <f t="shared" si="98"/>
        <v>Coherente</v>
      </c>
      <c r="HG46" s="149" t="str">
        <f t="shared" si="98"/>
        <v>Concuerda</v>
      </c>
      <c r="HH46" s="149" t="str">
        <f t="shared" si="98"/>
        <v>Concuerda</v>
      </c>
      <c r="HI46" s="149">
        <f t="shared" si="98"/>
        <v>0</v>
      </c>
      <c r="HJ46" s="149" t="str">
        <f t="shared" si="98"/>
        <v>Adecuado</v>
      </c>
      <c r="HK46" s="149" t="str">
        <f t="shared" si="98"/>
        <v>Oportuna</v>
      </c>
      <c r="HL46" s="149" t="str">
        <f t="shared" si="98"/>
        <v>Ninguna</v>
      </c>
      <c r="HM46" s="149" t="str">
        <f t="shared" ref="HM46:HX55" si="99">+VLOOKUP($A46,consolidado,MATCH(HM$5,consolidadofila,0),0)</f>
        <v>Marcela Andrea García Guerrero</v>
      </c>
      <c r="HN46" s="149" t="str">
        <f t="shared" si="99"/>
        <v>No aplica</v>
      </c>
      <c r="HO46" s="149" t="str">
        <f t="shared" si="99"/>
        <v>Cumplido</v>
      </c>
      <c r="HP46" s="149" t="str">
        <f t="shared" si="99"/>
        <v>No aplica</v>
      </c>
      <c r="HQ46" s="149" t="str">
        <f t="shared" si="99"/>
        <v>No aplica</v>
      </c>
      <c r="HR46" s="149" t="str">
        <f t="shared" si="99"/>
        <v>No aplica</v>
      </c>
      <c r="HS46" s="149" t="str">
        <f t="shared" si="99"/>
        <v>No aplica</v>
      </c>
      <c r="HT46" s="149">
        <f t="shared" si="99"/>
        <v>0</v>
      </c>
      <c r="HU46" s="149" t="str">
        <f t="shared" si="99"/>
        <v>No aplica</v>
      </c>
      <c r="HV46" s="149" t="str">
        <f t="shared" si="99"/>
        <v>Oportuna</v>
      </c>
      <c r="HW46" s="149" t="str">
        <f t="shared" si="99"/>
        <v>Este indicador fue reportado como cumplido anticipadamente en el mes de abril de 2020.</v>
      </c>
      <c r="HX46" s="149" t="str">
        <f t="shared" si="99"/>
        <v>Marcela Andrea García Guerrero</v>
      </c>
    </row>
    <row r="47" spans="1:241" s="398" customFormat="1" x14ac:dyDescent="0.3">
      <c r="A47" s="391" t="s">
        <v>376</v>
      </c>
      <c r="B47" s="302" t="s">
        <v>1144</v>
      </c>
      <c r="C47" s="302" t="s">
        <v>1144</v>
      </c>
      <c r="D47" s="302" t="s">
        <v>1144</v>
      </c>
      <c r="E47" s="302" t="s">
        <v>1144</v>
      </c>
      <c r="F47" s="392" t="s">
        <v>1558</v>
      </c>
      <c r="G47" s="302" t="s">
        <v>1144</v>
      </c>
      <c r="H47" s="302" t="s">
        <v>1144</v>
      </c>
      <c r="I47" s="392" t="s">
        <v>1146</v>
      </c>
      <c r="J47" s="393" t="s">
        <v>127</v>
      </c>
      <c r="K47" s="393" t="s">
        <v>1549</v>
      </c>
      <c r="L47" s="393" t="s">
        <v>129</v>
      </c>
      <c r="M47" s="393" t="s">
        <v>1478</v>
      </c>
      <c r="N47" s="393" t="s">
        <v>1559</v>
      </c>
      <c r="O47" s="393" t="s">
        <v>1560</v>
      </c>
      <c r="P47" s="392" t="s">
        <v>1558</v>
      </c>
      <c r="Q47" s="393" t="s">
        <v>1561</v>
      </c>
      <c r="R47" s="393" t="s">
        <v>1562</v>
      </c>
      <c r="S47" s="393" t="s">
        <v>1563</v>
      </c>
      <c r="T47" s="393" t="s">
        <v>1564</v>
      </c>
      <c r="U47" s="393" t="s">
        <v>1565</v>
      </c>
      <c r="V47" s="393" t="s">
        <v>1566</v>
      </c>
      <c r="W47" s="392" t="s">
        <v>661</v>
      </c>
      <c r="X47" s="393" t="s">
        <v>661</v>
      </c>
      <c r="Y47" s="393" t="s">
        <v>1567</v>
      </c>
      <c r="Z47" s="393" t="s">
        <v>1568</v>
      </c>
      <c r="AA47" s="393" t="s">
        <v>127</v>
      </c>
      <c r="AB47" s="393" t="s">
        <v>602</v>
      </c>
      <c r="AC47" s="393" t="s">
        <v>1293</v>
      </c>
      <c r="AD47" s="393" t="s">
        <v>1031</v>
      </c>
      <c r="AE47" s="393">
        <v>2018</v>
      </c>
      <c r="AF47" s="393">
        <v>0</v>
      </c>
      <c r="AG47" s="393">
        <v>2017</v>
      </c>
      <c r="AH47" s="393" t="s">
        <v>1161</v>
      </c>
      <c r="AI47" s="393" t="s">
        <v>1161</v>
      </c>
      <c r="AJ47" s="393">
        <v>0.5</v>
      </c>
      <c r="AK47" s="393">
        <v>1</v>
      </c>
      <c r="AL47" s="394" t="s">
        <v>1161</v>
      </c>
      <c r="AM47" s="393">
        <v>1</v>
      </c>
      <c r="AN47" s="302" t="s">
        <v>1144</v>
      </c>
      <c r="AO47" s="302" t="s">
        <v>1144</v>
      </c>
      <c r="AP47" s="302" t="s">
        <v>1144</v>
      </c>
      <c r="AQ47" s="302" t="s">
        <v>1144</v>
      </c>
      <c r="AR47" s="302" t="s">
        <v>1144</v>
      </c>
      <c r="AS47" s="302" t="s">
        <v>1144</v>
      </c>
      <c r="AT47" s="395" t="s">
        <v>1161</v>
      </c>
      <c r="AU47" s="395" t="s">
        <v>1161</v>
      </c>
      <c r="AV47" s="395">
        <v>50</v>
      </c>
      <c r="AW47" s="395">
        <v>100</v>
      </c>
      <c r="AX47" s="396" t="s">
        <v>1161</v>
      </c>
      <c r="AY47" s="395">
        <v>100</v>
      </c>
      <c r="AZ47" s="392"/>
      <c r="BA47" s="392"/>
      <c r="BB47" s="392"/>
      <c r="BC47" s="392"/>
      <c r="BD47" s="392">
        <v>0</v>
      </c>
      <c r="BE47" s="392"/>
      <c r="BF47" s="392"/>
      <c r="BG47" s="392"/>
      <c r="BH47" s="392"/>
      <c r="BI47" s="392"/>
      <c r="BJ47" s="392">
        <v>0</v>
      </c>
      <c r="BK47" s="302" t="s">
        <v>1144</v>
      </c>
      <c r="BL47" s="302" t="s">
        <v>1144</v>
      </c>
      <c r="BM47" s="302" t="s">
        <v>1144</v>
      </c>
      <c r="BN47" s="302" t="s">
        <v>1144</v>
      </c>
      <c r="BO47" s="302" t="s">
        <v>1144</v>
      </c>
      <c r="BP47" s="302" t="s">
        <v>1144</v>
      </c>
      <c r="BQ47" s="302" t="s">
        <v>1144</v>
      </c>
      <c r="BR47" s="302" t="s">
        <v>1144</v>
      </c>
      <c r="BS47" s="302" t="s">
        <v>1144</v>
      </c>
      <c r="BT47" s="302" t="s">
        <v>1144</v>
      </c>
      <c r="BU47" s="302" t="s">
        <v>1144</v>
      </c>
      <c r="BV47" s="302" t="s">
        <v>1144</v>
      </c>
      <c r="BW47" s="393" t="s">
        <v>1144</v>
      </c>
      <c r="BX47" s="393" t="s">
        <v>1144</v>
      </c>
      <c r="BY47" s="393">
        <v>1</v>
      </c>
      <c r="BZ47" s="393">
        <v>1</v>
      </c>
      <c r="CA47" s="393" t="s">
        <v>1144</v>
      </c>
      <c r="CB47" s="393" t="s">
        <v>1144</v>
      </c>
      <c r="CC47" s="393" t="s">
        <v>1144</v>
      </c>
      <c r="CD47" s="393">
        <v>1</v>
      </c>
      <c r="CE47" s="393" t="s">
        <v>286</v>
      </c>
      <c r="CF47" s="393" t="s">
        <v>1144</v>
      </c>
      <c r="CG47" s="393" t="s">
        <v>1144</v>
      </c>
      <c r="CH47" s="393" t="s">
        <v>1144</v>
      </c>
      <c r="CI47" s="393" t="s">
        <v>1144</v>
      </c>
      <c r="CJ47" s="393" t="s">
        <v>1144</v>
      </c>
      <c r="CK47" s="393" t="s">
        <v>1144</v>
      </c>
      <c r="CL47" s="393" t="s">
        <v>1144</v>
      </c>
      <c r="CM47" s="393" t="s">
        <v>1144</v>
      </c>
      <c r="CN47" s="393" t="s">
        <v>1144</v>
      </c>
      <c r="CO47" s="393" t="s">
        <v>1144</v>
      </c>
      <c r="CP47" s="393" t="s">
        <v>1144</v>
      </c>
      <c r="CQ47" s="393" t="s">
        <v>1144</v>
      </c>
      <c r="CR47" s="393" t="s">
        <v>1144</v>
      </c>
      <c r="CS47" s="393" t="s">
        <v>1144</v>
      </c>
      <c r="CT47" s="393" t="s">
        <v>1144</v>
      </c>
      <c r="CU47" s="393" t="s">
        <v>1144</v>
      </c>
      <c r="CV47" s="393" t="s">
        <v>1144</v>
      </c>
      <c r="CW47" s="393" t="s">
        <v>1569</v>
      </c>
      <c r="CX47" s="393" t="s">
        <v>1144</v>
      </c>
      <c r="CY47" s="393" t="s">
        <v>1144</v>
      </c>
      <c r="CZ47" s="393" t="s">
        <v>1144</v>
      </c>
      <c r="DA47" s="393" t="s">
        <v>1144</v>
      </c>
      <c r="DB47" s="308" t="str">
        <f t="shared" si="32"/>
        <v xml:space="preserve">Plan Estratégico Institucional, Plan de Acción, SGC, PROCESO: Gestión del Sistema Distrital de servicio a la ciudadanía, 01_CONPES 1.2.1., </v>
      </c>
      <c r="DC47" s="392" t="str">
        <f t="shared" si="88"/>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v>
      </c>
      <c r="DD47" s="392" t="str">
        <f t="shared" si="88"/>
        <v xml:space="preserve">Gestionar el proceso de optimización Guía de Trámites y Servicios con información estructurada completamente operativa para facilitar su consulta por parte de la ciudadanía </v>
      </c>
      <c r="DE47" s="392" t="str">
        <f t="shared" si="88"/>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
      <c r="DF47" s="392" t="str">
        <f t="shared" si="88"/>
        <v>No aplica</v>
      </c>
      <c r="DG47" s="392" t="str">
        <f t="shared" si="88"/>
        <v>Suma</v>
      </c>
      <c r="DH47" s="392" t="str">
        <f t="shared" si="2"/>
        <v>No Disponible / No Aplica</v>
      </c>
      <c r="DI47" s="392">
        <f t="shared" si="3"/>
        <v>0</v>
      </c>
      <c r="DJ47" s="392">
        <f t="shared" si="4"/>
        <v>0</v>
      </c>
      <c r="DK47" s="392">
        <f t="shared" si="5"/>
        <v>0</v>
      </c>
      <c r="DL47" s="392">
        <f t="shared" si="6"/>
        <v>0</v>
      </c>
      <c r="DM47" s="392">
        <f t="shared" si="7"/>
        <v>0</v>
      </c>
      <c r="DN47" s="392">
        <f t="shared" si="36"/>
        <v>0</v>
      </c>
      <c r="DO47" s="392" t="e">
        <f t="shared" ref="DO47:DT67" si="100">+IF(AND($X47="Constante",$DG47="Constante"),$DU47,IF(AND($AB47="Porcentaje",$X47="Creciente",$DG47="Suma",$AW47&lt;&gt;"No Disponible / No Aplica",IFERROR($AX47-$AW47,0)&gt;0),VLOOKUP($A47,consolidado,MATCH(DO$5,consolidadofila,0),0)/$DH47*$AX47*($AX47-$AW47)/$AX47,IF(AND($AB47="Porcentaje",$X47="Creciente",,$AW47&lt;&gt;"No Disponible / No Aplica",IFERROR($AX47-$AW47,0)&gt;0,OR($DG47="Constante",$DG47="Creciente")),VLOOKUP($A47,consolidado,MATCH(DO$5,consolidadofila,0),0)*($AX47-$AW47)/$AX47,IF(AND($AB47="Número",$X47="Creciente"),VLOOKUP($A47,consolidado,MATCH(DO$5,consolidadofila,0),0),IF(AND($AB47="Porcentaje",$DG47="Suma"),VLOOKUP($A47,consolidado,MATCH(DO$5,consolidadofila,0),0)/$DH47*$AX47,IF(AND($AB47="Porcentaje",OR($DG47="Constante",$DG47="Creciente")),VLOOKUP($A47,consolidado,MATCH(DO$5,consolidadofila,0),0),IF($AB47="Número",VLOOKUP($A47,consolidado,MATCH(DO$5,consolidadofila,0),0))))))))</f>
        <v>#VALUE!</v>
      </c>
      <c r="DP47" s="392" t="e">
        <f t="shared" si="100"/>
        <v>#VALUE!</v>
      </c>
      <c r="DQ47" s="392" t="e">
        <f t="shared" si="100"/>
        <v>#VALUE!</v>
      </c>
      <c r="DR47" s="392" t="e">
        <f t="shared" si="100"/>
        <v>#VALUE!</v>
      </c>
      <c r="DS47" s="392" t="e">
        <f t="shared" si="100"/>
        <v>#VALUE!</v>
      </c>
      <c r="DT47" s="392" t="e">
        <f t="shared" si="100"/>
        <v>#VALUE!</v>
      </c>
      <c r="DU47" s="392" t="str">
        <f t="shared" si="89"/>
        <v>No Disponible / No Aplica</v>
      </c>
      <c r="DV47" s="392">
        <f t="shared" si="89"/>
        <v>0</v>
      </c>
      <c r="DW47" s="392">
        <f t="shared" si="89"/>
        <v>0</v>
      </c>
      <c r="DX47" s="392" t="str">
        <f t="shared" si="89"/>
        <v>Mediante memorando 3-2020-9831 del 28 de abril de 2020, se informó que este indicador no tendría programación para la vigencia 2020</v>
      </c>
      <c r="DY47" s="392" t="str">
        <f t="shared" si="89"/>
        <v>N/A</v>
      </c>
      <c r="DZ47" s="392" t="str">
        <f t="shared" si="89"/>
        <v>N/A</v>
      </c>
      <c r="EA47" s="392">
        <f t="shared" si="89"/>
        <v>0</v>
      </c>
      <c r="EB47" s="392">
        <f t="shared" si="89"/>
        <v>0</v>
      </c>
      <c r="EC47" s="392" t="str">
        <f t="shared" si="89"/>
        <v>Mediante memorando 3-2020-9831 del 28 de abril de 2020, se informó que este indicador no tendría programación para la vigencia 2020</v>
      </c>
      <c r="ED47" s="392" t="str">
        <f t="shared" si="89"/>
        <v>N/A</v>
      </c>
      <c r="EE47" s="392" t="str">
        <f t="shared" si="90"/>
        <v>N/A</v>
      </c>
      <c r="EF47" s="392">
        <f t="shared" si="90"/>
        <v>0</v>
      </c>
      <c r="EG47" s="392">
        <f t="shared" si="90"/>
        <v>0</v>
      </c>
      <c r="EH47" s="392" t="str">
        <f t="shared" si="90"/>
        <v>Mediante memorando 3-2020-9831 del 28 de abril de 2020, se informó que este indicador no tendría programación para la vigencia 2020</v>
      </c>
      <c r="EI47" s="392" t="str">
        <f t="shared" si="90"/>
        <v>N/A</v>
      </c>
      <c r="EJ47" s="392" t="str">
        <f t="shared" si="90"/>
        <v>N/A</v>
      </c>
      <c r="EK47" s="392">
        <f t="shared" si="90"/>
        <v>0</v>
      </c>
      <c r="EL47" s="392">
        <f t="shared" si="90"/>
        <v>0</v>
      </c>
      <c r="EM47" s="392" t="str">
        <f t="shared" si="90"/>
        <v>Mediante memorando 3-2020-9831 del 28 de abril de 2020, se informó que este indicador no tendría programación para la vigencia 2020</v>
      </c>
      <c r="EN47" s="392" t="str">
        <f t="shared" si="90"/>
        <v>N/A</v>
      </c>
      <c r="EO47" s="392" t="str">
        <f t="shared" si="91"/>
        <v>N/A</v>
      </c>
      <c r="EP47" s="392">
        <f t="shared" si="91"/>
        <v>0</v>
      </c>
      <c r="EQ47" s="392">
        <f t="shared" si="91"/>
        <v>0</v>
      </c>
      <c r="ER47" s="392" t="str">
        <f t="shared" si="91"/>
        <v>Mediante memorando 3-2020-9831 del 28 de abril de 2020, se informó que este indicador no tendría programación para la vigencia 2020</v>
      </c>
      <c r="ES47" s="392" t="str">
        <f t="shared" si="91"/>
        <v>N/A</v>
      </c>
      <c r="ET47" s="392" t="str">
        <f t="shared" si="91"/>
        <v>N/A</v>
      </c>
      <c r="EU47" s="392">
        <f t="shared" si="91"/>
        <v>0</v>
      </c>
      <c r="EV47" s="392">
        <f t="shared" si="91"/>
        <v>0</v>
      </c>
      <c r="EW47" s="392" t="str">
        <f t="shared" si="91"/>
        <v>Mediante memorando 3-2020-9831 del 28 de abril de 2020, se informó que este indicador no tendría programación para la vigencia 2020</v>
      </c>
      <c r="EX47" s="392" t="str">
        <f t="shared" si="91"/>
        <v>N/A</v>
      </c>
      <c r="EY47" s="392" t="str">
        <f t="shared" si="91"/>
        <v>N/A</v>
      </c>
      <c r="EZ47" s="392">
        <f t="shared" si="91"/>
        <v>0</v>
      </c>
      <c r="FA47" s="392">
        <f t="shared" si="91"/>
        <v>0</v>
      </c>
      <c r="FB47" s="392" t="str">
        <f t="shared" si="91"/>
        <v/>
      </c>
      <c r="FC47" s="392" t="str">
        <f t="shared" si="91"/>
        <v/>
      </c>
      <c r="FD47" s="392" t="str">
        <f t="shared" si="92"/>
        <v/>
      </c>
      <c r="FE47" s="392" t="str">
        <f t="shared" si="92"/>
        <v/>
      </c>
      <c r="FF47" s="392" t="str">
        <f t="shared" si="92"/>
        <v/>
      </c>
      <c r="FG47" s="392" t="str">
        <f t="shared" si="92"/>
        <v/>
      </c>
      <c r="FH47" s="392" t="str">
        <f t="shared" si="92"/>
        <v/>
      </c>
      <c r="FI47" s="392" t="str">
        <f t="shared" si="92"/>
        <v/>
      </c>
      <c r="FJ47" s="392" t="str">
        <f t="shared" si="92"/>
        <v/>
      </c>
      <c r="FK47" s="392" t="str">
        <f t="shared" si="92"/>
        <v/>
      </c>
      <c r="FL47" s="392" t="str">
        <f t="shared" si="92"/>
        <v/>
      </c>
      <c r="FM47" s="392" t="str">
        <f t="shared" si="92"/>
        <v/>
      </c>
      <c r="FN47" s="392" t="str">
        <f t="shared" si="93"/>
        <v/>
      </c>
      <c r="FO47" s="392" t="str">
        <f t="shared" si="93"/>
        <v/>
      </c>
      <c r="FP47" s="392" t="str">
        <f t="shared" si="93"/>
        <v/>
      </c>
      <c r="FQ47" s="392" t="str">
        <f t="shared" si="93"/>
        <v/>
      </c>
      <c r="FR47" s="392" t="str">
        <f t="shared" si="93"/>
        <v/>
      </c>
      <c r="FS47" s="392" t="str">
        <f t="shared" si="93"/>
        <v/>
      </c>
      <c r="FT47" s="392" t="str">
        <f t="shared" si="93"/>
        <v/>
      </c>
      <c r="FU47" s="392" t="str">
        <f t="shared" si="93"/>
        <v/>
      </c>
      <c r="FV47" s="392" t="str">
        <f t="shared" si="93"/>
        <v/>
      </c>
      <c r="FW47" s="392" t="str">
        <f t="shared" si="93"/>
        <v/>
      </c>
      <c r="FX47" s="392" t="str">
        <f t="shared" si="94"/>
        <v/>
      </c>
      <c r="FY47" s="392" t="str">
        <f t="shared" si="94"/>
        <v/>
      </c>
      <c r="FZ47" s="392" t="str">
        <f t="shared" si="94"/>
        <v/>
      </c>
      <c r="GA47" s="392" t="str">
        <f t="shared" si="94"/>
        <v/>
      </c>
      <c r="GB47" s="392" t="str">
        <f t="shared" si="94"/>
        <v/>
      </c>
      <c r="GC47" s="392" t="str">
        <f t="shared" si="94"/>
        <v/>
      </c>
      <c r="GD47" s="392" t="str">
        <f t="shared" si="94"/>
        <v/>
      </c>
      <c r="GE47" s="392" t="str">
        <f t="shared" si="94"/>
        <v/>
      </c>
      <c r="GF47" s="392">
        <f t="shared" si="33"/>
        <v>0</v>
      </c>
      <c r="GG47" s="392">
        <f t="shared" si="22"/>
        <v>0</v>
      </c>
      <c r="GH47" s="392">
        <f t="shared" si="23"/>
        <v>0</v>
      </c>
      <c r="GI47" s="392">
        <f t="shared" si="24"/>
        <v>0</v>
      </c>
      <c r="GJ47" s="392">
        <f t="shared" si="25"/>
        <v>0</v>
      </c>
      <c r="GK47" s="392">
        <f t="shared" si="34"/>
        <v>0</v>
      </c>
      <c r="GL47" s="392" t="e">
        <f t="shared" si="15"/>
        <v>#VALUE!</v>
      </c>
      <c r="GM47" s="392" t="e">
        <f t="shared" si="16"/>
        <v>#VALUE!</v>
      </c>
      <c r="GN47" s="392" t="e">
        <f t="shared" si="17"/>
        <v>#VALUE!</v>
      </c>
      <c r="GO47" s="392" t="e">
        <f t="shared" si="18"/>
        <v>#VALUE!</v>
      </c>
      <c r="GP47" s="392" t="e">
        <f t="shared" si="19"/>
        <v>#VALUE!</v>
      </c>
      <c r="GQ47" s="392" t="e">
        <f t="shared" si="19"/>
        <v>#VALUE!</v>
      </c>
      <c r="GR47" s="397" t="e">
        <f t="shared" si="82"/>
        <v>#VALUE!</v>
      </c>
      <c r="GS47" s="392" t="str">
        <f t="shared" si="37"/>
        <v>No Programó</v>
      </c>
      <c r="GT47" s="392" t="str">
        <f>+IF(OR($A47=52,$A47=124),1,IFERROR(IF($X47="Creciente",IF($AB47="Número",SUM($GL47:GM47)/SUM($DO47:DP47)*($AX47-$AW47),SUM($GL47:GM47)/SUM($DO47:DP47))*($AX47-$AW47),IF($DG47="Creciente",GM47*GM47/GM47,IF(AND($DG47="Constante",$AB47="Porcentaje"),AVERAGEIF($GL47:GM47,"&lt;&gt;0")/AVERAGEIF($DO47:DP47,"&lt;&gt;0")*100,SUM($GL47:GM47)/SUM($DO47:DP47)*$DU47))),GS47))</f>
        <v>No Programó</v>
      </c>
      <c r="GU47" s="392" t="str">
        <f>+IF(OR($A47=52,$A47=124),1,IFERROR(IF($X47="Creciente",IF($AB47="Número",SUM($GL47:GN47)/SUM($DO47:DQ47)*($AX47-$AW47),SUM($GL47:GN47)/SUM($DO47:DQ47))*($AX47-$AW47),IF($DG47="Creciente",GN47*GN47/GN47,IF(AND($DG47="Constante",$AB47="Porcentaje"),AVERAGEIF($GL47:GN47,"&lt;&gt;0")/AVERAGEIF($DO47:DQ47,"&lt;&gt;0")*100,SUM($GL47:GN47)/SUM($DO47:DQ47)*$DU47))),GT47))</f>
        <v>No Programó</v>
      </c>
      <c r="GV47" s="392" t="str">
        <f>+IF(OR($A47=52,$A47=124),1,IFERROR(IF($X47="Creciente",IF($AB47="Número",SUM($GL47:GO47)/SUM($DO47:DR47)*($AX47-$AW47),SUM($GL47:GO47)/SUM($DO47:DR47))*($AX47-$AW47),IF($DG47="Creciente",GO47*GO47/GO47,IF(AND($DG47="Constante",$AB47="Porcentaje"),AVERAGEIF($GL47:GO47,"&lt;&gt;0")/AVERAGEIF($DO47:DR47,"&lt;&gt;0")*100,SUM($GL47:GO47)/SUM($DO47:DR47)*$DU47))),GU47))</f>
        <v>No Programó</v>
      </c>
      <c r="GW47" s="392" t="str">
        <f>+IF(OR($A47=52,$A47=124),1,IFERROR(IF($X47="Creciente",IF($AB47="Número",SUM($GL47:GP47)/SUM($DO47:DS47)*($AX47-$AW47),SUM($GL47:GP47)/SUM($DO47:DS47))*($AX47-$AW47),IF($DG47="Creciente",GP47*GP47/GP47,IF(AND($DG47="Constante",$AB47="Porcentaje"),AVERAGEIF($GL47:GP47,"&lt;&gt;0")/AVERAGEIF($DO47:DS47,"&lt;&gt;0")*100,SUM($GL47:GP47)/SUM($DO47:DS47)*$DU47))),GV47))</f>
        <v>No Programó</v>
      </c>
      <c r="GX47" s="392" t="str">
        <f>+IF(OR($A47=52,$A47=124),1,IFERROR(IF($X47="Creciente",IF($AB47="Número",SUM($GL47:GQ47)/SUM($DO47:DT47)*($AX47-$AW47),SUM($GL47:GQ47)/SUM($DO47:DT47))*($AX47-$AW47),IF($DG47="Creciente",GQ47*GQ47/GQ47,IF(AND($DG47="Constante",$AB47="Porcentaje"),AVERAGEIF($GL47:GQ47,"&lt;&gt;0")/AVERAGEIF($DO47:DT47,"&lt;&gt;0")*100,SUM($GL47:GQ47)/SUM($DO47:DT47)*$DU47))),GW47))</f>
        <v>No Programó</v>
      </c>
      <c r="GY47" s="392" t="str">
        <f t="shared" si="28"/>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v>
      </c>
      <c r="GZ47" s="392" t="str">
        <f t="shared" si="29"/>
        <v xml:space="preserve">Gestionar el proceso de optimización Guía de Trámites y Servicios con información estructurada completamente operativa para facilitar su consulta por parte de la ciudadanía </v>
      </c>
      <c r="HA47" s="392" t="str">
        <f t="shared" si="30"/>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
      <c r="HB47" s="392" t="str">
        <f t="shared" si="31"/>
        <v>No aplica</v>
      </c>
      <c r="HC47" s="398">
        <f t="shared" si="98"/>
        <v>0</v>
      </c>
      <c r="HD47" s="398">
        <f t="shared" si="98"/>
        <v>0</v>
      </c>
      <c r="HE47" s="398">
        <f t="shared" si="98"/>
        <v>0</v>
      </c>
      <c r="HF47" s="398">
        <f t="shared" si="98"/>
        <v>0</v>
      </c>
      <c r="HG47" s="398">
        <f t="shared" si="98"/>
        <v>0</v>
      </c>
      <c r="HH47" s="398">
        <f t="shared" si="98"/>
        <v>0</v>
      </c>
      <c r="HI47" s="398">
        <f t="shared" si="98"/>
        <v>0</v>
      </c>
      <c r="HJ47" s="398">
        <f t="shared" si="98"/>
        <v>0</v>
      </c>
      <c r="HK47" s="398">
        <f t="shared" si="98"/>
        <v>0</v>
      </c>
      <c r="HL47" s="398" t="str">
        <f t="shared" si="98"/>
        <v>No aplica</v>
      </c>
      <c r="HM47" s="398" t="str">
        <f t="shared" si="99"/>
        <v>Marcela Andrea García Guerrero</v>
      </c>
      <c r="HN47" s="398">
        <f t="shared" si="99"/>
        <v>0</v>
      </c>
      <c r="HO47" s="398">
        <f t="shared" si="99"/>
        <v>0</v>
      </c>
      <c r="HP47" s="398">
        <f t="shared" si="99"/>
        <v>0</v>
      </c>
      <c r="HQ47" s="398">
        <f t="shared" si="99"/>
        <v>0</v>
      </c>
      <c r="HR47" s="398">
        <f t="shared" si="99"/>
        <v>0</v>
      </c>
      <c r="HS47" s="398">
        <f t="shared" si="99"/>
        <v>0</v>
      </c>
      <c r="HT47" s="398">
        <f t="shared" si="99"/>
        <v>0</v>
      </c>
      <c r="HU47" s="398">
        <f t="shared" si="99"/>
        <v>0</v>
      </c>
      <c r="HV47" s="398">
        <f t="shared" si="99"/>
        <v>0</v>
      </c>
      <c r="HW47" s="398">
        <f t="shared" si="99"/>
        <v>0</v>
      </c>
      <c r="HX47" s="398">
        <f t="shared" si="99"/>
        <v>0</v>
      </c>
      <c r="HY47" s="392"/>
      <c r="HZ47" s="392"/>
      <c r="IA47" s="392"/>
      <c r="IB47" s="392"/>
      <c r="IC47" s="392"/>
      <c r="ID47" s="392"/>
      <c r="IE47" s="392"/>
      <c r="IF47" s="392"/>
      <c r="IG47" s="392"/>
    </row>
    <row r="48" spans="1:241" s="288" customFormat="1" x14ac:dyDescent="0.3">
      <c r="A48" s="287">
        <v>65</v>
      </c>
      <c r="B48" s="150" t="s">
        <v>1144</v>
      </c>
      <c r="C48" s="150" t="s">
        <v>1144</v>
      </c>
      <c r="D48" s="150" t="s">
        <v>1144</v>
      </c>
      <c r="E48" s="150" t="s">
        <v>1144</v>
      </c>
      <c r="F48" s="136" t="s">
        <v>1570</v>
      </c>
      <c r="G48" s="150" t="s">
        <v>1144</v>
      </c>
      <c r="H48" s="150" t="s">
        <v>1144</v>
      </c>
      <c r="I48" s="149" t="s">
        <v>1146</v>
      </c>
      <c r="J48" s="219" t="s">
        <v>183</v>
      </c>
      <c r="K48" s="219" t="s">
        <v>184</v>
      </c>
      <c r="L48" s="219" t="s">
        <v>185</v>
      </c>
      <c r="M48" s="219" t="s">
        <v>1478</v>
      </c>
      <c r="N48" s="219" t="s">
        <v>1479</v>
      </c>
      <c r="O48" s="219" t="s">
        <v>1480</v>
      </c>
      <c r="P48" s="148" t="s">
        <v>1570</v>
      </c>
      <c r="Q48" s="219" t="s">
        <v>1571</v>
      </c>
      <c r="R48" s="219" t="s">
        <v>1572</v>
      </c>
      <c r="S48" s="219" t="s">
        <v>1573</v>
      </c>
      <c r="T48" s="219" t="s">
        <v>1574</v>
      </c>
      <c r="U48" s="219">
        <v>0</v>
      </c>
      <c r="V48" s="219" t="s">
        <v>1575</v>
      </c>
      <c r="W48" s="148" t="s">
        <v>638</v>
      </c>
      <c r="X48" s="219" t="s">
        <v>638</v>
      </c>
      <c r="Y48" s="219" t="s">
        <v>1576</v>
      </c>
      <c r="Z48" s="219" t="s">
        <v>1577</v>
      </c>
      <c r="AA48" s="219" t="s">
        <v>1578</v>
      </c>
      <c r="AB48" s="219" t="s">
        <v>639</v>
      </c>
      <c r="AC48" s="219" t="s">
        <v>1271</v>
      </c>
      <c r="AD48" s="219" t="s">
        <v>1031</v>
      </c>
      <c r="AE48" s="219">
        <v>2016</v>
      </c>
      <c r="AF48" s="219">
        <v>2400</v>
      </c>
      <c r="AG48" s="219">
        <v>2016</v>
      </c>
      <c r="AH48" s="219">
        <v>2400</v>
      </c>
      <c r="AI48" s="219">
        <v>9000</v>
      </c>
      <c r="AJ48" s="219">
        <v>18000</v>
      </c>
      <c r="AK48" s="219">
        <v>19000</v>
      </c>
      <c r="AL48" s="220">
        <v>0</v>
      </c>
      <c r="AM48" s="219">
        <v>0</v>
      </c>
      <c r="AN48" s="146" t="s">
        <v>1144</v>
      </c>
      <c r="AO48" s="146" t="s">
        <v>1144</v>
      </c>
      <c r="AP48" s="146" t="s">
        <v>1144</v>
      </c>
      <c r="AQ48" s="146" t="s">
        <v>1144</v>
      </c>
      <c r="AR48" s="146" t="s">
        <v>1144</v>
      </c>
      <c r="AS48" s="150" t="s">
        <v>1144</v>
      </c>
      <c r="AT48" s="232">
        <v>2400</v>
      </c>
      <c r="AU48" s="232">
        <v>9000</v>
      </c>
      <c r="AV48" s="232">
        <v>18000</v>
      </c>
      <c r="AW48" s="232">
        <v>19000</v>
      </c>
      <c r="AX48" s="232">
        <v>7200</v>
      </c>
      <c r="AY48" s="232">
        <v>0</v>
      </c>
      <c r="AZ48" s="149"/>
      <c r="BA48" s="149"/>
      <c r="BB48" s="149"/>
      <c r="BC48" s="149"/>
      <c r="BD48" s="149">
        <v>0</v>
      </c>
      <c r="BE48" s="149"/>
      <c r="BF48" s="149"/>
      <c r="BG48" s="149"/>
      <c r="BH48" s="149"/>
      <c r="BI48" s="149"/>
      <c r="BJ48" s="149">
        <v>0</v>
      </c>
      <c r="BK48" s="146" t="s">
        <v>1144</v>
      </c>
      <c r="BL48" s="146" t="s">
        <v>1144</v>
      </c>
      <c r="BM48" s="146" t="s">
        <v>1144</v>
      </c>
      <c r="BN48" s="146" t="s">
        <v>1144</v>
      </c>
      <c r="BO48" s="146" t="s">
        <v>1144</v>
      </c>
      <c r="BP48" s="146" t="s">
        <v>1144</v>
      </c>
      <c r="BQ48" s="146" t="s">
        <v>1144</v>
      </c>
      <c r="BR48" s="146" t="s">
        <v>1144</v>
      </c>
      <c r="BS48" s="150" t="s">
        <v>1144</v>
      </c>
      <c r="BT48" s="150" t="s">
        <v>1144</v>
      </c>
      <c r="BU48" s="150" t="s">
        <v>1144</v>
      </c>
      <c r="BV48" s="150" t="s">
        <v>1144</v>
      </c>
      <c r="BW48" s="219" t="s">
        <v>1144</v>
      </c>
      <c r="BX48" s="219" t="s">
        <v>1144</v>
      </c>
      <c r="BY48" s="219" t="s">
        <v>1144</v>
      </c>
      <c r="BZ48" s="219">
        <v>1</v>
      </c>
      <c r="CA48" s="219" t="s">
        <v>1144</v>
      </c>
      <c r="CB48" s="219" t="s">
        <v>1144</v>
      </c>
      <c r="CC48" s="219" t="s">
        <v>1144</v>
      </c>
      <c r="CD48" s="219">
        <v>1</v>
      </c>
      <c r="CE48" s="219" t="s">
        <v>286</v>
      </c>
      <c r="CF48" s="219">
        <v>1</v>
      </c>
      <c r="CG48" s="219" t="s">
        <v>1144</v>
      </c>
      <c r="CH48" s="219" t="s">
        <v>1144</v>
      </c>
      <c r="CI48" s="219" t="s">
        <v>1144</v>
      </c>
      <c r="CJ48" s="219" t="s">
        <v>1144</v>
      </c>
      <c r="CK48" s="219" t="s">
        <v>1144</v>
      </c>
      <c r="CL48" s="219" t="s">
        <v>1144</v>
      </c>
      <c r="CM48" s="219" t="s">
        <v>1144</v>
      </c>
      <c r="CN48" s="219" t="s">
        <v>1144</v>
      </c>
      <c r="CO48" s="219" t="s">
        <v>1144</v>
      </c>
      <c r="CP48" s="219" t="s">
        <v>1144</v>
      </c>
      <c r="CQ48" s="219" t="s">
        <v>1144</v>
      </c>
      <c r="CR48" s="219" t="s">
        <v>1144</v>
      </c>
      <c r="CS48" s="219" t="s">
        <v>1144</v>
      </c>
      <c r="CT48" s="219" t="s">
        <v>1144</v>
      </c>
      <c r="CU48" s="219" t="s">
        <v>1144</v>
      </c>
      <c r="CV48" s="219" t="s">
        <v>1144</v>
      </c>
      <c r="CW48" s="219" t="s">
        <v>1144</v>
      </c>
      <c r="CX48" s="219" t="s">
        <v>1144</v>
      </c>
      <c r="CY48" s="219" t="s">
        <v>1144</v>
      </c>
      <c r="CZ48" s="219" t="s">
        <v>1144</v>
      </c>
      <c r="DA48" s="219" t="s">
        <v>1144</v>
      </c>
      <c r="DB48" s="152" t="str">
        <f t="shared" si="32"/>
        <v xml:space="preserve">Plan de Acción, SGC, PROCESO: Gestión del Sistema Distrital de servicio a la ciudadanía, PAAC, </v>
      </c>
      <c r="DC48" s="149" t="str">
        <f t="shared" si="88"/>
        <v xml:space="preserve">Mide el No de respuestas a requerimientos ciudadanos  evaluadas en términos de calidad y calidez.  </v>
      </c>
      <c r="DD48" s="149" t="str">
        <f t="shared" si="88"/>
        <v>• Evaluar respuestas a requerimientos ciudadanos  en términos de calidad y calidez.</v>
      </c>
      <c r="DE48" s="149" t="str">
        <f t="shared" si="88"/>
        <v>Identificar los aspectos a mejorar en la gestión de peticiones ciudadanas de la Secretaría General y entidades distritales en cuanto a los criterios de coherencia, claridad, calidez y oportunidad, y al uso y manejo del Sistema.</v>
      </c>
      <c r="DF48" s="149" t="str">
        <f t="shared" si="88"/>
        <v>Base de datos de las peticiones evaluadas en términos de calidad y calidez (mes vencido)</v>
      </c>
      <c r="DG48" s="149" t="str">
        <f t="shared" si="88"/>
        <v>Suma</v>
      </c>
      <c r="DH48" s="149">
        <f t="shared" ref="DH48:DH53" si="101">+IF(VLOOKUP($A48,consolidado,MATCH(DH$5,consolidadofila,0),0)=0,DU48,VLOOKUP($A48,consolidado,MATCH(DH$5,consolidadofila,0),0))</f>
        <v>7200</v>
      </c>
      <c r="DI48" s="149">
        <f t="shared" ref="DI48:DI53" si="102">+VLOOKUP($A48,consolidado,MATCH(DO$5,consolidadofila,0),0)</f>
        <v>1200</v>
      </c>
      <c r="DJ48" s="149">
        <f t="shared" ref="DJ48:DJ53" si="103">+VLOOKUP($A48,consolidado,MATCH(DP$5,consolidadofila,0),0)</f>
        <v>1200</v>
      </c>
      <c r="DK48" s="149">
        <f t="shared" ref="DK48:DK53" si="104">+VLOOKUP($A48,consolidado,MATCH(DQ$5,consolidadofila,0),0)</f>
        <v>1200</v>
      </c>
      <c r="DL48" s="149">
        <f t="shared" ref="DL48:DL53" si="105">+VLOOKUP($A48,consolidado,MATCH(DR$5,consolidadofila,0),0)</f>
        <v>1200</v>
      </c>
      <c r="DM48" s="149">
        <f t="shared" ref="DM48:DM53" si="106">+VLOOKUP($A48,consolidado,MATCH(DS$5,consolidadofila,0),0)</f>
        <v>1200</v>
      </c>
      <c r="DN48" s="149">
        <f t="shared" ref="DN48:DN53" si="107">+VLOOKUP($A48,consolidado,MATCH(DT$5,consolidadofila,0),0)</f>
        <v>1200</v>
      </c>
      <c r="DO48" s="149">
        <f t="shared" si="100"/>
        <v>1200</v>
      </c>
      <c r="DP48" s="149">
        <f t="shared" si="100"/>
        <v>1200</v>
      </c>
      <c r="DQ48" s="149">
        <f t="shared" si="100"/>
        <v>1200</v>
      </c>
      <c r="DR48" s="149">
        <f t="shared" si="100"/>
        <v>1200</v>
      </c>
      <c r="DS48" s="149">
        <f t="shared" si="100"/>
        <v>1200</v>
      </c>
      <c r="DT48" s="149">
        <f t="shared" si="100"/>
        <v>1200</v>
      </c>
      <c r="DU48" s="149">
        <f t="shared" si="89"/>
        <v>7200</v>
      </c>
      <c r="DV48" s="149">
        <f t="shared" si="89"/>
        <v>1225</v>
      </c>
      <c r="DW48" s="149" t="str">
        <f t="shared" si="89"/>
        <v/>
      </c>
      <c r="DX48" s="149" t="str">
        <f t="shared" si="89"/>
        <v xml:space="preserve">En el mes de enero se evaluaron (en términos de Calidad y Calidez) 1.225 respuestas registradas en el Sistema de Gestión de peticiones ciudadanas, emitidas en el mes anterior (diciembre/2019) por la Secretaría General y demás entidades distritales,  realizando las siguientes actividades:  
-Selección de la muestra a evaluar. 
-Evaluación de 1.225  respuestas, obteniendose los siguientes resultados en cuanto a los criterios evaluados: el  96% (1.171 respuestas evaluadas en el periodo) cumplen con el criterio de Coherencia; el 93% (1.135 respuestas) cumplen con el criterio de claridad; el  96% (1.171 respuestas)  cumplen con el criterio de calidez;  el 71% (865 respuestas) cumplen con Oportunidad; concluyéndose que el 32% (391  respuestas) no cumplen todos los criterios de Calidad y Calidez  y el  23% (278 respuestas) no cumplen con el manejo del sistema.
-Remisión de comunicaciones  (9 memorandos a Dependencias de la Secretaría General y 39  oficios a  entidades distritales ) con Informe de resultados de la evaluación en términos de Calidad y Calidez (reporte mes vencido). 
La fuente de verificación : 1 archivo PDF "Base de Calidad y Calidez"  da cuenta del total de respuestas a peticiones ciudadanas evaluadas en el mes de enero  (1.225 respuestas emitidas en el mes anterior  -diciembre/2019 - por la Secretaría General y demás entidades distritales). 
</v>
      </c>
      <c r="DY48" s="149" t="str">
        <f t="shared" si="89"/>
        <v>N.A</v>
      </c>
      <c r="DZ48" s="149" t="str">
        <f t="shared" si="89"/>
        <v>Se identificaron los aspectos a mejorar en la respuesta a peticiones ciudadanas,  retroalimentando a dependencias de la Secretaría  General y entidades Distritales (9 dependencias de la Secretaría General y 39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EA48" s="149">
        <f t="shared" si="89"/>
        <v>1734</v>
      </c>
      <c r="EB48" s="149" t="str">
        <f t="shared" si="89"/>
        <v/>
      </c>
      <c r="EC48" s="149" t="str">
        <f t="shared" si="89"/>
        <v xml:space="preserve">En el mes de febrero se evaluaron (en términos de Calidad y Calidez) 1.734  respuestas registradas en el Sistema de Gestión de peticiones ciudadanas, emitidas en el mes anterior (enero/2020) por la Secretaría General y demás entidades distritales,  realizando las siguientes actividades:  
-Selección de la muestra a evaluar. 
-Evaluación de 1.734  respuestas, obteniendose los siguientes resultados en cuanto a los criterios evaluados:el  97% (1.686 respuestas evaluadas en el periodo) cumplen con el criterio de Coherencia; el 95% (1.642 respuestas) cumplen con el criterio de claridad; el  97% (1.684 respuestas)  cumplen con el criterio de calidez;  el 75% (1.306 respuestas) cumplen con Oportunidad; concluyéndose que el 27% (469  respuestas) no cumplen todos los criterios de Calidad y Calidez  y el 4% (75 respuestas) no cumplen con el manejo del sistema.
-Remisión de comunicaciones  (5 memorandos a Dependencias de la Secretaría General y 26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febrero  (1.734 respuestas emitidas en el mes anterior  -enero/2020 - por la Secretaría General y demás entidades distritales). </v>
      </c>
      <c r="ED48" s="149" t="str">
        <f t="shared" si="89"/>
        <v>N.A</v>
      </c>
      <c r="EE48" s="149" t="str">
        <f t="shared" si="90"/>
        <v>Se identificaron los aspectos a mejorar en la respuesta a peticiones ciudadanas,  retroalimentando a dependencias de la Secretaría  General y entidades Distritales (5 dependencias de la Secretaría General y 26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EF48" s="149">
        <f t="shared" si="90"/>
        <v>1635</v>
      </c>
      <c r="EG48" s="149" t="str">
        <f t="shared" si="90"/>
        <v/>
      </c>
      <c r="EH48" s="149" t="str">
        <f t="shared" si="90"/>
        <v xml:space="preserve">En el mes de marzo se evaluaron (en términos de Calidad y Calidez) 1.635  respuestas registradas en el Sistema de Gestión de peticiones ciudadanas, emitidas en el mes anterior (febrero/2020) por la Secretaría General y demás entidades distritales,  realizando las siguientes actividades:  
-Selección de la muestra a evaluar. 
-Evaluación de 1.635  respuestas, obteniendose los siguientes resultados en cuanto a los criterios evaluados:
El  96% (1.566 respuestas) cumplen con el criterio de Coherencia; el 93% (1.514 respuestas) cumplen con el criterio de claridad; el  95% (1.554  respuestas)  cumplen con el criterio de calidez;  el 85% (1.383 respuestas) cumplen con Oportunidad; concluyéndose que el 18% (301  respuestas) no cumplen todos los criterios de Calidad y Calidez  y el 7% (115 respuestas) no cumplen con el manejo del sistema.
-Remisión de comunicaciones  (9 memorandos a Dependencias de la Secretaría General y 36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marzo  (1.635 respuestas emitidas en el mes anterior  -febrero/2020 - por la Secretaría General y demás entidades distritales). </v>
      </c>
      <c r="EI48" s="149" t="str">
        <f t="shared" si="90"/>
        <v>N.A</v>
      </c>
      <c r="EJ48" s="149" t="str">
        <f t="shared" si="90"/>
        <v>Se identificaron los aspectos a mejorar en la respuesta a peticiones ciudadanas,  retroalimentando a dependencias de la Secretaría  General y entidades Distritales (9 dependencias de la Secretaría General y 36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EK48" s="149">
        <f t="shared" si="90"/>
        <v>2169</v>
      </c>
      <c r="EL48" s="149" t="str">
        <f t="shared" si="90"/>
        <v/>
      </c>
      <c r="EM48" s="149" t="str">
        <f t="shared" si="90"/>
        <v xml:space="preserve">En el mes de abril se evaluaron (en términos de Calidad y Calidez)  2.169  respuestas registradas en el Sistema de Gestión de peticiones ciudadanas, emitidas en el mes anterior (marzo/2020) por la Secretaría General y demás entidades distritales,  realizando las siguientes actividades:  
-Selección de la muestra a evaluar. 
-Evaluación de 2.169  respuestas, obteniendose los siguientes resultados en cuanto a los criterios evaluados:
El  95% (2.069  respuestas evaluadas en el periodo) cumplen con el criterio de Coherencia; el 92% (1.987 respuestas) cumplen con el criterio de claridad; el  95% (2.054  respuestas)  cumplen con el criterio de calidez;  el 75% (1.621 respuestas) cumplen con Oportunidad; concluyéndose que el 28% (614  respuestas) no cumplen todos los criterios de Calidad y Calidez  y el 5% (115 respuestas) no cumplen con el manejo del sistema.
-Remisión de comunicaciones  (7 memorandos a Dependencias de la Secretaría General y 40 oficios a  entidades distritales ) con Informe de resultados de la evaluación en términos de Calidad y Calidez (reporte mes vencido). 
La fuente de verificación: 1 archivo  "Base de Calidad y Calidez"  da cuenta del total de respuestas a peticiones ciudadanas evaluadas en el mes de abril  (2.169  respuestas emitidas en el mes anterior  -marzo/2020 - por la Secretaría General y demás entidades distritales). </v>
      </c>
      <c r="EN48" s="149" t="str">
        <f t="shared" si="90"/>
        <v>N.A</v>
      </c>
      <c r="EO48" s="149" t="str">
        <f t="shared" si="91"/>
        <v>Se identificaron los aspectos a mejorar en la respuesta a peticiones ciudadanas,  retroalimentando a dependencias de la Secretaría  General y entidades Distritales (7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EP48" s="149">
        <f t="shared" si="91"/>
        <v>1544</v>
      </c>
      <c r="EQ48" s="149" t="str">
        <f t="shared" si="91"/>
        <v/>
      </c>
      <c r="ER48" s="149" t="str">
        <f t="shared" si="91"/>
        <v xml:space="preserve">En el mes de mayo  se evaluaron (en términos de Calidad y Calidez) 1.544 respuestas registradas en el Sistema de Gestión de peticiones ciudadanas, emitidas en el mes anterior (abril/2020) por la Secretaría General y demás entidades distritales,  realizando las siguientes actividades:  
-Selección de la muestra a evaluar. 
-Evaluación de 1.544  respuestas, obteniendose los siguientes resultados en cuanto a los criterios evaluados:
El  94% (1.456  respuestas evaluadas en el periodo) cumplen con el criterio de Coherencia; el 91% (1.398 respuestas) cumplen con el criterio de claridad; el  94% (1.448  respuestas)  cumplen con el criterio de calidez;  el 77% (1.190 respuestas) cumplen con Oportunidad; concluyéndose que el 27% (412  respuestas) no cumplen todos los criterios de Calidad y Calidez  y el 7% (111 respuestas) no cumplen con el manejo del sistema.
-Remisión de comunicaciones  (6 memorandos a Dependencias de la Secretaría General y 35 oficios a  entidades distritales ) con Informe de resultados de la evaluación en términos de Calidad y Calidez (reporte mes vencido). 
La fuente de verificación: 1 archivo PDF  "Base de Calidad y Calidez"  da cuenta del total de respuestas a peticiones ciudadanas evaluadas en el mes de mayo (1.544  respuestas emitidas en el mes anterior  -abril/2020 - por la Secretaría General y demás entidades distritales). </v>
      </c>
      <c r="ES48" s="149" t="str">
        <f t="shared" si="91"/>
        <v>N.A</v>
      </c>
      <c r="ET48" s="149" t="str">
        <f t="shared" si="91"/>
        <v>Se identificaron los aspectos a mejorar en la respuesta a peticiones ciudadanas,  retroalimentando a dependencias de la Secretaría  General y entidades Distritales (6 dependencias de la Secretaría General y 35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EU48" s="149">
        <f t="shared" si="91"/>
        <v>1811</v>
      </c>
      <c r="EV48" s="149" t="str">
        <f t="shared" si="91"/>
        <v/>
      </c>
      <c r="EW48" s="149" t="str">
        <f t="shared" si="91"/>
        <v xml:space="preserve">En el mes de junio  se evaluaron (en términos de Calidad y Calidez) 1.811 respuestas registradas en el Sistema de Gestión de peticiones ciudadanas, emitidas en el mes anterior (mayo/2020) por la Secretaría General y demás entidades distritales,  realizando las siguientes actividades:  
-Selección de la muestra a evaluar. 
-Evaluación de 1.811  respuestas, obteniendose los siguientes resultados en cuanto a los criterios evaluados:
El  95% (1.726  respuestas evaluadas en el periodo) cumplen con el criterio de Coherencia; el 91% (1.650 respuestas) cumplen con el criterio de claridad; el  94% (1.707  respuestas)  cumplen con el criterio de calidez;  el 82% (1.489 respuestas) cumplen con Oportunidad; concluyéndose que el 22% (392  respuestas) no cumplen todos los criterios de Calidad y Calidez  y el 9% (165 respuestas) no cumplen con el manejo del sistema.
-Remisión de comunicaciones  (7 memorandos a Dependencias de la Secretaría General y 34 oficios a  entidades distritales ) con Informe de resultados de la evaluación en términos de Calidad y Calidez (reporte mes vencido). </v>
      </c>
      <c r="EX48" s="149" t="str">
        <f t="shared" si="91"/>
        <v>N.A</v>
      </c>
      <c r="EY48" s="149" t="str">
        <f t="shared" si="91"/>
        <v>Se identificaron los aspectos a mejorar en la respuesta a peticiones ciudadanas,  retroalimentando a dependencias de la Secretaría  General y entidades Distritales (7 dependencias de la Secretaría General y 34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
      <c r="EZ48" s="149">
        <f t="shared" si="91"/>
        <v>10118</v>
      </c>
      <c r="FA48" s="149">
        <f t="shared" si="91"/>
        <v>0</v>
      </c>
      <c r="FB48" s="149">
        <f t="shared" si="91"/>
        <v>0</v>
      </c>
      <c r="FC48" s="149">
        <f t="shared" si="91"/>
        <v>0</v>
      </c>
      <c r="FD48" s="149">
        <f t="shared" si="92"/>
        <v>0</v>
      </c>
      <c r="FE48" s="149">
        <f t="shared" si="92"/>
        <v>0</v>
      </c>
      <c r="FF48" s="149">
        <f t="shared" si="92"/>
        <v>0</v>
      </c>
      <c r="FG48" s="149">
        <f t="shared" si="92"/>
        <v>0</v>
      </c>
      <c r="FH48" s="149">
        <f t="shared" si="92"/>
        <v>0</v>
      </c>
      <c r="FI48" s="149">
        <f t="shared" si="92"/>
        <v>0</v>
      </c>
      <c r="FJ48" s="149">
        <f t="shared" si="92"/>
        <v>0</v>
      </c>
      <c r="FK48" s="149">
        <f t="shared" si="92"/>
        <v>0</v>
      </c>
      <c r="FL48" s="149">
        <f t="shared" si="92"/>
        <v>0</v>
      </c>
      <c r="FM48" s="149">
        <f t="shared" si="92"/>
        <v>0</v>
      </c>
      <c r="FN48" s="149">
        <f t="shared" si="93"/>
        <v>0</v>
      </c>
      <c r="FO48" s="149">
        <f t="shared" si="93"/>
        <v>0</v>
      </c>
      <c r="FP48" s="149">
        <f t="shared" si="93"/>
        <v>0</v>
      </c>
      <c r="FQ48" s="149">
        <f t="shared" si="93"/>
        <v>0</v>
      </c>
      <c r="FR48" s="149">
        <f t="shared" si="93"/>
        <v>0</v>
      </c>
      <c r="FS48" s="149">
        <f t="shared" si="93"/>
        <v>0</v>
      </c>
      <c r="FT48" s="149">
        <f t="shared" si="93"/>
        <v>0</v>
      </c>
      <c r="FU48" s="149">
        <f t="shared" si="93"/>
        <v>0</v>
      </c>
      <c r="FV48" s="149">
        <f t="shared" si="93"/>
        <v>0</v>
      </c>
      <c r="FW48" s="149">
        <f t="shared" si="93"/>
        <v>0</v>
      </c>
      <c r="FX48" s="149">
        <f t="shared" si="94"/>
        <v>0</v>
      </c>
      <c r="FY48" s="149">
        <f t="shared" si="94"/>
        <v>0</v>
      </c>
      <c r="FZ48" s="149">
        <f t="shared" si="94"/>
        <v>0</v>
      </c>
      <c r="GA48" s="149">
        <f t="shared" si="94"/>
        <v>0</v>
      </c>
      <c r="GB48" s="149">
        <f t="shared" si="94"/>
        <v>0</v>
      </c>
      <c r="GC48" s="149">
        <f t="shared" si="94"/>
        <v>0</v>
      </c>
      <c r="GD48" s="149">
        <f t="shared" si="94"/>
        <v>0</v>
      </c>
      <c r="GE48" s="149">
        <f t="shared" si="94"/>
        <v>0</v>
      </c>
      <c r="GF48" s="149">
        <f t="shared" ref="GF48:GF53" si="108">+IFERROR(IF(DW48=0,DV48/DO48,DV48/DW48),DV48)</f>
        <v>1225</v>
      </c>
      <c r="GG48" s="149">
        <f t="shared" ref="GG48:GG53" si="109">+IFERROR(IF(EB48=0,EA48/DP48,EA48/EB48),EA48)</f>
        <v>1734</v>
      </c>
      <c r="GH48" s="149">
        <f t="shared" ref="GH48:GH53" si="110">+IFERROR(IF(EG48=0,EF48/DQ48,EF48/EG48),EF48)</f>
        <v>1635</v>
      </c>
      <c r="GI48" s="149">
        <f t="shared" ref="GI48:GI53" si="111">+IFERROR(IF(EL48=0,EK48/DR48,EK48/EL48),EK48)</f>
        <v>2169</v>
      </c>
      <c r="GJ48" s="149">
        <f t="shared" ref="GJ48:GJ53" si="112">+IFERROR(IF(EQ48=0,EP48/DS48,EP48/EQ48),EP48)</f>
        <v>1544</v>
      </c>
      <c r="GK48" s="149">
        <f t="shared" ref="GK48:GK53" si="113">+IF(FA48=0,EZ48,EZ48/FA48)</f>
        <v>10118</v>
      </c>
      <c r="GL48" s="149">
        <f t="shared" ref="GL48:GL53" si="114">+IF($A48=52,1,IFERROR(IF(OR($DG48="Constante",$DG48="Creciente"),IFERROR(IF(VLOOKUP($A48,bd,MATCH(GL$3,bdfila,0),0)="",0,VLOOKUP($A48,bd,MATCH(GL$3,bdfila,0),0))/(IF(VLOOKUP($A48,bd,MATCH(GL$2,bdfila,0),0)="",0,VLOOKUP($A48,bd,MATCH(GL$2,bdfila,0),0))),IF(VLOOKUP($A48,bd,MATCH(GL$3,bdfila,0),0)="",0,VLOOKUP($A48,bd,MATCH(GL$3,bdfila,0),0))/DI48),IF(VLOOKUP($A48,bd,MATCH(GL$3,bdfila,0),0)="",0,VLOOKUP($A48,bd,MATCH(GL$3,bdfila,0),0))/$DH48/IF($X48="Constante",1,1)),IF(VLOOKUP($A48,bd,MATCH(GL$3,bdfila,0),0)="",0,VLOOKUP($A48,bd,MATCH(GL$3,bdfila,0),0))/$DH48))*100</f>
        <v>17.013888888888889</v>
      </c>
      <c r="GM48" s="149">
        <f t="shared" ref="GM48:GM53" si="115">+IF($A48=52,1,IFERROR(IF(OR($DG48="Constante",$DG48="Creciente"),IFERROR(IF(VLOOKUP($A48,bd,MATCH(GM$3,bdfila,0),0)="",0,VLOOKUP($A48,bd,MATCH(GM$3,bdfila,0),0))/(IF(VLOOKUP($A48,bd,MATCH(GM$2,bdfila,0),0)="",0,VLOOKUP($A48,bd,MATCH(GM$2,bdfila,0),0))),IF(VLOOKUP($A48,bd,MATCH(GM$3,bdfila,0),0)="",0,VLOOKUP($A48,bd,MATCH(GM$3,bdfila,0),0))/DJ48),IF(VLOOKUP($A48,bd,MATCH(GM$3,bdfila,0),0)="",0,VLOOKUP($A48,bd,MATCH(GM$3,bdfila,0),0))/$DH48/IF($X48="Constante",1,1)),IF(VLOOKUP($A48,bd,MATCH(GM$3,bdfila,0),0)="",0,VLOOKUP($A48,bd,MATCH(GM$3,bdfila,0),0))/$DH48))*100</f>
        <v>24.083333333333336</v>
      </c>
      <c r="GN48" s="149">
        <f t="shared" ref="GN48:GN53" si="116">+IF($A48=52,1,IFERROR(IF(OR($DG48="Constante",$DG48="Creciente"),IFERROR(IF(VLOOKUP($A48,bd,MATCH(GN$3,bdfila,0),0)="",0,VLOOKUP($A48,bd,MATCH(GN$3,bdfila,0),0))/(IF(VLOOKUP($A48,bd,MATCH(GN$2,bdfila,0),0)="",0,VLOOKUP($A48,bd,MATCH(GN$2,bdfila,0),0))),IF(VLOOKUP($A48,bd,MATCH(GN$3,bdfila,0),0)="",0,VLOOKUP($A48,bd,MATCH(GN$3,bdfila,0),0))/DK48),IF(VLOOKUP($A48,bd,MATCH(GN$3,bdfila,0),0)="",0,VLOOKUP($A48,bd,MATCH(GN$3,bdfila,0),0))/$DH48/IF($X48="Constante",1,1)),IF(VLOOKUP($A48,bd,MATCH(GN$3,bdfila,0),0)="",0,VLOOKUP($A48,bd,MATCH(GN$3,bdfila,0),0))/$DH48))*100</f>
        <v>22.708333333333332</v>
      </c>
      <c r="GO48" s="149">
        <f t="shared" ref="GO48:GO53" si="117">+IF($A48=52,1,IFERROR(IF(OR($DG48="Constante",$DG48="Creciente"),IFERROR(IF(VLOOKUP($A48,bd,MATCH(GO$3,bdfila,0),0)="",0,VLOOKUP($A48,bd,MATCH(GO$3,bdfila,0),0))/(IF(VLOOKUP($A48,bd,MATCH(GO$2,bdfila,0),0)="",0,VLOOKUP($A48,bd,MATCH(GO$2,bdfila,0),0))),IF(VLOOKUP($A48,bd,MATCH(GO$3,bdfila,0),0)="",0,VLOOKUP($A48,bd,MATCH(GO$3,bdfila,0),0))/DL48),IF(VLOOKUP($A48,bd,MATCH(GO$3,bdfila,0),0)="",0,VLOOKUP($A48,bd,MATCH(GO$3,bdfila,0),0))/$DH48/IF($X48="Constante",1,1)),IF(VLOOKUP($A48,bd,MATCH(GO$3,bdfila,0),0)="",0,VLOOKUP($A48,bd,MATCH(GO$3,bdfila,0),0))/$DH48))*100</f>
        <v>30.125</v>
      </c>
      <c r="GP48" s="149">
        <f t="shared" ref="GP48:GQ53" si="118">+IF($A48=52,1,IFERROR(IF(OR($DG48="Constante",$DG48="Creciente"),IFERROR(IF(VLOOKUP($A48,bd,MATCH(GP$3,bdfila,0),0)="",0,VLOOKUP($A48,bd,MATCH(GP$3,bdfila,0),0))/(IF(VLOOKUP($A48,bd,MATCH(GP$2,bdfila,0),0)="",0,VLOOKUP($A48,bd,MATCH(GP$2,bdfila,0),0))),IF(VLOOKUP($A48,bd,MATCH(GP$3,bdfila,0),0)="",0,VLOOKUP($A48,bd,MATCH(GP$3,bdfila,0),0))/DM48),IF(VLOOKUP($A48,bd,MATCH(GP$3,bdfila,0),0)="",0,VLOOKUP($A48,bd,MATCH(GP$3,bdfila,0),0))/$DH48/IF($X48="Constante",1,1)),IF(VLOOKUP($A48,bd,MATCH(GP$3,bdfila,0),0)="",0,VLOOKUP($A48,bd,MATCH(GP$3,bdfila,0),0))/$DH48))*100</f>
        <v>21.444444444444443</v>
      </c>
      <c r="GQ48" s="149">
        <f t="shared" si="118"/>
        <v>25.152777777777779</v>
      </c>
      <c r="GR48" s="153">
        <f>+IF(DG48="Suma",SUM(GL48:GQ48),AVERAGE(GL48:GQ48))</f>
        <v>140.52777777777777</v>
      </c>
      <c r="GS48" s="149">
        <f t="shared" ref="GS48:GS53" si="119">+IF(OR($A48=52,$A48=124),1,IFERROR(IF($X48="Creciente",IF($AB48="Número",SUM(GL48)/SUM(DO48)*($AX48-$AW48),SUM(GL48)/SUM(DO48))*($AX48-$AW48),IF(AND($DG48="Constante",$AB48="Porcentaje"),AVERAGEIF(GL48,"&lt;&gt;0")/AVERAGEIF(DO48,"&lt;&gt;0")*100,SUM(GL48)/SUM(DO48)*$DU48)),"No Programó"))</f>
        <v>102.08333333333334</v>
      </c>
      <c r="GT48" s="149">
        <f>+IF(OR($A48=52,$A48=124),1,IFERROR(IF($X48="Creciente",IF($AB48="Número",SUM($GL48:GM48)/SUM($DO48:DP48)*($AX48-$AW48),SUM($GL48:GM48)/SUM($DO48:DP48))*($AX48-$AW48),IF($DG48="Creciente",GM48*GM48/GM48,IF(AND($DG48="Constante",$AB48="Porcentaje"),AVERAGEIF($GL48:GM48,"&lt;&gt;0")/AVERAGEIF($DO48:DP48,"&lt;&gt;0")*100,SUM($GL48:GM48)/SUM($DO48:DP48)*$DU48))),GS48))</f>
        <v>123.2916666666667</v>
      </c>
      <c r="GU48" s="149">
        <f>+IF(OR($A48=52,$A48=124),1,IFERROR(IF($X48="Creciente",IF($AB48="Número",SUM($GL48:GN48)/SUM($DO48:DQ48)*($AX48-$AW48),SUM($GL48:GN48)/SUM($DO48:DQ48))*($AX48-$AW48),IF($DG48="Creciente",GN48*GN48/GN48,IF(AND($DG48="Constante",$AB48="Porcentaje"),AVERAGEIF($GL48:GN48,"&lt;&gt;0")/AVERAGEIF($DO48:DQ48,"&lt;&gt;0")*100,SUM($GL48:GN48)/SUM($DO48:DQ48)*$DU48))),GT48))</f>
        <v>127.61111111111111</v>
      </c>
      <c r="GV48" s="149">
        <f>+IF(OR($A48=52,$A48=124),1,IFERROR(IF($X48="Creciente",IF($AB48="Número",SUM($GL48:GO48)/SUM($DO48:DR48)*($AX48-$AW48),SUM($GL48:GO48)/SUM($DO48:DR48))*($AX48-$AW48),IF($DG48="Creciente",GO48*GO48/GO48,IF(AND($DG48="Constante",$AB48="Porcentaje"),AVERAGEIF($GL48:GO48,"&lt;&gt;0")/AVERAGEIF($DO48:DR48,"&lt;&gt;0")*100,SUM($GL48:GO48)/SUM($DO48:DR48)*$DU48))),GU48))</f>
        <v>140.89583333333334</v>
      </c>
      <c r="GW48" s="149">
        <f>+IF(OR($A48=52,$A48=124),1,IFERROR(IF($X48="Creciente",IF($AB48="Número",SUM($GL48:GP48)/SUM($DO48:DS48)*($AX48-$AW48),SUM($GL48:GP48)/SUM($DO48:DS48))*($AX48-$AW48),IF($DG48="Creciente",GP48*GP48/GP48,IF(AND($DG48="Constante",$AB48="Porcentaje"),AVERAGEIF($GL48:GP48,"&lt;&gt;0")/AVERAGEIF($DO48:DS48,"&lt;&gt;0")*100,SUM($GL48:GP48)/SUM($DO48:DS48)*$DU48))),GV48))</f>
        <v>138.44999999999999</v>
      </c>
      <c r="GX48" s="149">
        <f>+IF(OR($A48=52,$A48=124),1,IFERROR(IF($X48="Creciente",IF($AB48="Número",SUM($GL48:GQ48)/SUM($DO48:DT48)*($AX48-$AW48),SUM($GL48:GQ48)/SUM($DO48:DT48))*($AX48-$AW48),IF($DG48="Creciente",GQ48*GQ48/GQ48,IF(AND($DG48="Constante",$AB48="Porcentaje"),AVERAGEIF($GL48:GQ48,"&lt;&gt;0")/AVERAGEIF($DO48:DT48,"&lt;&gt;0")*100,SUM($GL48:GQ48)/SUM($DO48:DT48)*$DU48))),GW48))</f>
        <v>140.52777777777777</v>
      </c>
      <c r="GY48" s="149" t="str">
        <f t="shared" ref="GY48:GY53" si="120">+DC48</f>
        <v xml:space="preserve">Mide el No de respuestas a requerimientos ciudadanos  evaluadas en términos de calidad y calidez.  </v>
      </c>
      <c r="GZ48" s="149" t="str">
        <f t="shared" ref="GZ48:GZ53" si="121">+DD48</f>
        <v>• Evaluar respuestas a requerimientos ciudadanos  en términos de calidad y calidez.</v>
      </c>
      <c r="HA48" s="149" t="str">
        <f t="shared" ref="HA48:HA53" si="122">+DE48</f>
        <v>Identificar los aspectos a mejorar en la gestión de peticiones ciudadanas de la Secretaría General y entidades distritales en cuanto a los criterios de coherencia, claridad, calidez y oportunidad, y al uso y manejo del Sistema.</v>
      </c>
      <c r="HB48" s="149" t="str">
        <f t="shared" ref="HB48:HB53" si="123">+DF48</f>
        <v>Base de datos de las peticiones evaluadas en términos de calidad y calidez (mes vencido)</v>
      </c>
      <c r="HC48" s="149" t="str">
        <f t="shared" si="98"/>
        <v>Cumple</v>
      </c>
      <c r="HD48" s="149" t="str">
        <f t="shared" si="98"/>
        <v>Cumplido</v>
      </c>
      <c r="HE48" s="149" t="str">
        <f t="shared" si="98"/>
        <v>Adecuado</v>
      </c>
      <c r="HF48" s="149" t="str">
        <f t="shared" si="98"/>
        <v>Coherente</v>
      </c>
      <c r="HG48" s="149" t="str">
        <f t="shared" si="98"/>
        <v>Concuerda</v>
      </c>
      <c r="HH48" s="149" t="str">
        <f t="shared" si="98"/>
        <v>Concuerda</v>
      </c>
      <c r="HI48" s="149">
        <f t="shared" si="98"/>
        <v>0</v>
      </c>
      <c r="HJ48" s="149" t="str">
        <f t="shared" si="98"/>
        <v>Adecuado</v>
      </c>
      <c r="HK48" s="149" t="str">
        <f t="shared" si="98"/>
        <v>Oportuna</v>
      </c>
      <c r="HL48" s="149" t="str">
        <f t="shared" si="98"/>
        <v>Ninguna</v>
      </c>
      <c r="HM48" s="149" t="str">
        <f t="shared" si="99"/>
        <v>Marcela Andrea García Guerrero</v>
      </c>
      <c r="HN48" s="149" t="str">
        <f t="shared" si="99"/>
        <v>Cumple</v>
      </c>
      <c r="HO48" s="149" t="str">
        <f t="shared" si="99"/>
        <v>Cumplido</v>
      </c>
      <c r="HP48" s="149" t="str">
        <f t="shared" si="99"/>
        <v>Adecuado</v>
      </c>
      <c r="HQ48" s="149" t="str">
        <f t="shared" si="99"/>
        <v>Coherente</v>
      </c>
      <c r="HR48" s="149" t="str">
        <f t="shared" si="99"/>
        <v>Concuerda</v>
      </c>
      <c r="HS48" s="149" t="str">
        <f t="shared" si="99"/>
        <v>Concuerda</v>
      </c>
      <c r="HT48" s="149">
        <f t="shared" si="99"/>
        <v>0</v>
      </c>
      <c r="HU48" s="149" t="str">
        <f t="shared" si="99"/>
        <v>Adecuado</v>
      </c>
      <c r="HV48" s="149" t="str">
        <f t="shared" si="99"/>
        <v>Oportuna</v>
      </c>
      <c r="HW48" s="149" t="str">
        <f t="shared" si="99"/>
        <v>Ninguna</v>
      </c>
      <c r="HX48" s="149" t="str">
        <f t="shared" si="99"/>
        <v>Marcela Andrea García Guerrero</v>
      </c>
    </row>
    <row r="49" spans="1:232" s="288" customFormat="1" x14ac:dyDescent="0.3">
      <c r="A49" s="287">
        <v>66</v>
      </c>
      <c r="B49" s="150" t="s">
        <v>1144</v>
      </c>
      <c r="C49" s="150" t="s">
        <v>1144</v>
      </c>
      <c r="D49" s="150" t="s">
        <v>1144</v>
      </c>
      <c r="E49" s="150" t="s">
        <v>1144</v>
      </c>
      <c r="F49" s="136" t="s">
        <v>1579</v>
      </c>
      <c r="G49" s="150" t="s">
        <v>1144</v>
      </c>
      <c r="H49" s="150" t="s">
        <v>1144</v>
      </c>
      <c r="I49" s="149" t="s">
        <v>1146</v>
      </c>
      <c r="J49" s="219" t="s">
        <v>183</v>
      </c>
      <c r="K49" s="219" t="s">
        <v>184</v>
      </c>
      <c r="L49" s="219" t="s">
        <v>185</v>
      </c>
      <c r="M49" s="219" t="s">
        <v>1478</v>
      </c>
      <c r="N49" s="219" t="s">
        <v>1479</v>
      </c>
      <c r="O49" s="219" t="s">
        <v>1480</v>
      </c>
      <c r="P49" s="148" t="s">
        <v>1579</v>
      </c>
      <c r="Q49" s="219" t="s">
        <v>1580</v>
      </c>
      <c r="R49" s="219" t="s">
        <v>1581</v>
      </c>
      <c r="S49" s="219" t="s">
        <v>1582</v>
      </c>
      <c r="T49" s="219" t="s">
        <v>1583</v>
      </c>
      <c r="U49" s="219">
        <v>0</v>
      </c>
      <c r="V49" s="219" t="s">
        <v>1584</v>
      </c>
      <c r="W49" s="148" t="s">
        <v>638</v>
      </c>
      <c r="X49" s="219" t="s">
        <v>638</v>
      </c>
      <c r="Y49" s="219" t="s">
        <v>1585</v>
      </c>
      <c r="Z49" s="219" t="s">
        <v>1586</v>
      </c>
      <c r="AA49" s="219" t="s">
        <v>1587</v>
      </c>
      <c r="AB49" s="219" t="s">
        <v>639</v>
      </c>
      <c r="AC49" s="219" t="s">
        <v>1271</v>
      </c>
      <c r="AD49" s="219" t="s">
        <v>1031</v>
      </c>
      <c r="AE49" s="219">
        <v>2016</v>
      </c>
      <c r="AF49" s="219">
        <v>10</v>
      </c>
      <c r="AG49" s="219">
        <v>2016</v>
      </c>
      <c r="AH49" s="219">
        <v>10</v>
      </c>
      <c r="AI49" s="219">
        <v>34</v>
      </c>
      <c r="AJ49" s="219">
        <v>100</v>
      </c>
      <c r="AK49" s="219">
        <v>80</v>
      </c>
      <c r="AL49" s="220">
        <v>0</v>
      </c>
      <c r="AM49" s="219">
        <v>0</v>
      </c>
      <c r="AN49" s="146" t="s">
        <v>1144</v>
      </c>
      <c r="AO49" s="146" t="s">
        <v>1144</v>
      </c>
      <c r="AP49" s="146" t="s">
        <v>1144</v>
      </c>
      <c r="AQ49" s="146" t="s">
        <v>1144</v>
      </c>
      <c r="AR49" s="146" t="s">
        <v>1144</v>
      </c>
      <c r="AS49" s="150" t="s">
        <v>1144</v>
      </c>
      <c r="AT49" s="232">
        <v>10</v>
      </c>
      <c r="AU49" s="232">
        <v>34</v>
      </c>
      <c r="AV49" s="232">
        <v>100</v>
      </c>
      <c r="AW49" s="232">
        <v>80</v>
      </c>
      <c r="AX49" s="232">
        <v>21</v>
      </c>
      <c r="AY49" s="232">
        <v>0</v>
      </c>
      <c r="AZ49" s="149"/>
      <c r="BA49" s="149"/>
      <c r="BB49" s="149"/>
      <c r="BC49" s="149"/>
      <c r="BD49" s="149">
        <v>0</v>
      </c>
      <c r="BE49" s="149"/>
      <c r="BF49" s="149"/>
      <c r="BG49" s="149"/>
      <c r="BH49" s="149"/>
      <c r="BI49" s="149"/>
      <c r="BJ49" s="149">
        <v>0</v>
      </c>
      <c r="BK49" s="146" t="s">
        <v>1144</v>
      </c>
      <c r="BL49" s="146" t="s">
        <v>1144</v>
      </c>
      <c r="BM49" s="146" t="s">
        <v>1144</v>
      </c>
      <c r="BN49" s="146" t="s">
        <v>1144</v>
      </c>
      <c r="BO49" s="146" t="s">
        <v>1144</v>
      </c>
      <c r="BP49" s="146" t="s">
        <v>1144</v>
      </c>
      <c r="BQ49" s="146" t="s">
        <v>1144</v>
      </c>
      <c r="BR49" s="146" t="s">
        <v>1144</v>
      </c>
      <c r="BS49" s="150" t="s">
        <v>1144</v>
      </c>
      <c r="BT49" s="150" t="s">
        <v>1144</v>
      </c>
      <c r="BU49" s="150" t="s">
        <v>1144</v>
      </c>
      <c r="BV49" s="150" t="s">
        <v>1144</v>
      </c>
      <c r="BW49" s="219" t="s">
        <v>1144</v>
      </c>
      <c r="BX49" s="219" t="s">
        <v>1144</v>
      </c>
      <c r="BY49" s="219" t="s">
        <v>1144</v>
      </c>
      <c r="BZ49" s="219">
        <v>1</v>
      </c>
      <c r="CA49" s="219" t="s">
        <v>1144</v>
      </c>
      <c r="CB49" s="219" t="s">
        <v>1144</v>
      </c>
      <c r="CC49" s="219" t="s">
        <v>1144</v>
      </c>
      <c r="CD49" s="219">
        <v>1</v>
      </c>
      <c r="CE49" s="219" t="s">
        <v>286</v>
      </c>
      <c r="CF49" s="219">
        <v>1</v>
      </c>
      <c r="CG49" s="219" t="s">
        <v>1144</v>
      </c>
      <c r="CH49" s="219" t="s">
        <v>1144</v>
      </c>
      <c r="CI49" s="219" t="s">
        <v>1144</v>
      </c>
      <c r="CJ49" s="219" t="s">
        <v>1144</v>
      </c>
      <c r="CK49" s="219" t="s">
        <v>1144</v>
      </c>
      <c r="CL49" s="219" t="s">
        <v>1144</v>
      </c>
      <c r="CM49" s="219" t="s">
        <v>1144</v>
      </c>
      <c r="CN49" s="219" t="s">
        <v>1144</v>
      </c>
      <c r="CO49" s="219" t="s">
        <v>1144</v>
      </c>
      <c r="CP49" s="219" t="s">
        <v>1144</v>
      </c>
      <c r="CQ49" s="219" t="s">
        <v>1144</v>
      </c>
      <c r="CR49" s="219" t="s">
        <v>1144</v>
      </c>
      <c r="CS49" s="219" t="s">
        <v>1144</v>
      </c>
      <c r="CT49" s="219" t="s">
        <v>1144</v>
      </c>
      <c r="CU49" s="219" t="s">
        <v>1144</v>
      </c>
      <c r="CV49" s="219" t="s">
        <v>1144</v>
      </c>
      <c r="CW49" s="219" t="s">
        <v>1144</v>
      </c>
      <c r="CX49" s="219" t="s">
        <v>1144</v>
      </c>
      <c r="CY49" s="219" t="s">
        <v>1144</v>
      </c>
      <c r="CZ49" s="219" t="s">
        <v>1144</v>
      </c>
      <c r="DA49" s="219" t="s">
        <v>1144</v>
      </c>
      <c r="DB49" s="152" t="str">
        <f t="shared" si="32"/>
        <v xml:space="preserve">Plan de Acción, SGC, PROCESO: Gestión del Sistema Distrital de servicio a la ciudadanía, PAAC, </v>
      </c>
      <c r="DC49" s="149" t="str">
        <f t="shared" si="88"/>
        <v>Mide el No de monitoreos realizados para evaluar la prestación del servicio en la Red CADE, en los diferentes canales de interacción ciudadana de la Secretaría General y en otros puntos de la Administración Distrital</v>
      </c>
      <c r="DD49" s="149" t="str">
        <f t="shared" si="88"/>
        <v xml:space="preserve">• Realizar monitoreo para la medición, evaluación y seguimiento  del servicio en la Red CADE, en los diferentes canales de interacción ciudadana de la Secretaria General y en otros puntos de la Administración Distrital.
</v>
      </c>
      <c r="DE49" s="149" t="str">
        <f t="shared" si="88"/>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
      <c r="DF49" s="149" t="str">
        <f t="shared" si="88"/>
        <v xml:space="preserve">Informes de monitoreo a los puntos de atención monitoreados en el mes anterior. </v>
      </c>
      <c r="DG49" s="149" t="str">
        <f t="shared" si="88"/>
        <v>Suma</v>
      </c>
      <c r="DH49" s="149">
        <f t="shared" si="101"/>
        <v>21</v>
      </c>
      <c r="DI49" s="149">
        <f t="shared" si="102"/>
        <v>5</v>
      </c>
      <c r="DJ49" s="149">
        <f t="shared" si="103"/>
        <v>8</v>
      </c>
      <c r="DK49" s="149">
        <f t="shared" si="104"/>
        <v>8</v>
      </c>
      <c r="DL49" s="149">
        <f t="shared" si="105"/>
        <v>0</v>
      </c>
      <c r="DM49" s="149">
        <f t="shared" si="106"/>
        <v>0</v>
      </c>
      <c r="DN49" s="149">
        <f t="shared" si="107"/>
        <v>0</v>
      </c>
      <c r="DO49" s="149">
        <f t="shared" si="100"/>
        <v>5</v>
      </c>
      <c r="DP49" s="149">
        <f t="shared" si="100"/>
        <v>8</v>
      </c>
      <c r="DQ49" s="149">
        <f t="shared" si="100"/>
        <v>8</v>
      </c>
      <c r="DR49" s="149">
        <f t="shared" si="100"/>
        <v>0</v>
      </c>
      <c r="DS49" s="149">
        <f t="shared" si="100"/>
        <v>0</v>
      </c>
      <c r="DT49" s="149">
        <f t="shared" si="100"/>
        <v>0</v>
      </c>
      <c r="DU49" s="149">
        <f t="shared" si="89"/>
        <v>21</v>
      </c>
      <c r="DV49" s="149">
        <f t="shared" si="89"/>
        <v>5</v>
      </c>
      <c r="DW49" s="149" t="str">
        <f t="shared" si="89"/>
        <v/>
      </c>
      <c r="DX49" s="149" t="str">
        <f t="shared" si="89"/>
        <v>En el mes de enero se realizaron cinco (5)  visitas de  monitoreo a los puntos CADE Candelaria, Super CADE Móvil  Ciudad Bolívar, CADE Chicó, CADE Gaitana y Super CADE Móvil Santafe,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enero/2020</v>
      </c>
      <c r="DY49" s="149" t="str">
        <f t="shared" si="89"/>
        <v>N.A</v>
      </c>
      <c r="DZ49" s="149" t="str">
        <f t="shared" si="89"/>
        <v xml:space="preserve"> Se identificaron  los aspectos a mejorar en la prestación del servicio a la ciudadanía  en cinco (5)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
      <c r="EA49" s="149">
        <f t="shared" si="89"/>
        <v>8</v>
      </c>
      <c r="EB49" s="149" t="str">
        <f t="shared" si="89"/>
        <v/>
      </c>
      <c r="EC49" s="149" t="str">
        <f t="shared" si="89"/>
        <v>En el mes de febrero se realizaron ocho (8)  visitas de  monitoreo a los puntos CADE Fontibon, CADE Kennedy, CADE  Muzu, SuperCADE Móvil Kennedy y SuperCADE Móvil Suba, CLAV Suba y Alcaldías Locales Santafe y Usaquen,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"Informes Ficha Tecnica de Monitoreo"  contienen el reporte de las ocho (8) visitas de monitoreo realizadas a los puntos de atención visitados en el mes de febrero/2020</v>
      </c>
      <c r="ED49" s="149" t="str">
        <f t="shared" si="89"/>
        <v>N.A</v>
      </c>
      <c r="EE49" s="149" t="str">
        <f t="shared" si="90"/>
        <v xml:space="preserve"> Se identificaron  los aspectos a mejorar en la prestación del servicio a la ciudadanía  en ocho (8)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
      <c r="EF49" s="149">
        <f t="shared" si="90"/>
        <v>12</v>
      </c>
      <c r="EG49" s="149" t="str">
        <f t="shared" si="90"/>
        <v/>
      </c>
      <c r="EH49" s="149" t="str">
        <f t="shared" si="90"/>
        <v>Durante el mes de marzo se realizaron doce (12)  visitas de  monitoreo a los puntos CADE Luceros, CADE Plaza de las Américas, CADE Santa Helenita, CADE Bosa, CADE Santa Lucia, CADE Servita, CADE Toberín, CLAV Rafael Uribe, CLAV Ciudad Bolívar, Alcaldía Local Candelaria, Alcaldía Local Engativá y Alcaldía Local Puente Aranda.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12 archivos PDF "Informes Ficha Tecnica de Monitoreo"  contienen el reporte de las doce (12) visitas de monitoreo realizadas a los puntos de atención visitados en el mes de marzo/2020.</v>
      </c>
      <c r="EI49" s="149" t="str">
        <f t="shared" si="90"/>
        <v>N.A</v>
      </c>
      <c r="EJ49" s="149" t="str">
        <f t="shared" si="90"/>
        <v xml:space="preserve"> Se identificaron  los aspectos a mejorar en la prestación del servicio a la ciudadanía  en doce (12)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
      <c r="EK49" s="149">
        <f t="shared" si="90"/>
        <v>0</v>
      </c>
      <c r="EL49" s="149" t="str">
        <f t="shared" si="90"/>
        <v/>
      </c>
      <c r="EM49" s="149" t="str">
        <f t="shared" si="90"/>
        <v>N.A</v>
      </c>
      <c r="EN49" s="149" t="str">
        <f t="shared" si="90"/>
        <v>N.A</v>
      </c>
      <c r="EO49" s="149" t="str">
        <f t="shared" si="91"/>
        <v>N.A</v>
      </c>
      <c r="EP49" s="149">
        <f t="shared" si="91"/>
        <v>0</v>
      </c>
      <c r="EQ49" s="149" t="str">
        <f t="shared" si="91"/>
        <v/>
      </c>
      <c r="ER49" s="149" t="str">
        <f t="shared" si="91"/>
        <v>N.A</v>
      </c>
      <c r="ES49" s="149" t="str">
        <f t="shared" si="91"/>
        <v>N/A</v>
      </c>
      <c r="ET49" s="149" t="str">
        <f t="shared" si="91"/>
        <v>N.A</v>
      </c>
      <c r="EU49" s="149">
        <f t="shared" si="91"/>
        <v>0</v>
      </c>
      <c r="EV49" s="149" t="str">
        <f t="shared" si="91"/>
        <v/>
      </c>
      <c r="EW49" s="149" t="str">
        <f t="shared" si="91"/>
        <v>N.A</v>
      </c>
      <c r="EX49" s="149" t="str">
        <f t="shared" si="91"/>
        <v>N/A</v>
      </c>
      <c r="EY49" s="149" t="str">
        <f t="shared" si="91"/>
        <v>N.A</v>
      </c>
      <c r="EZ49" s="149">
        <f t="shared" si="91"/>
        <v>25</v>
      </c>
      <c r="FA49" s="149">
        <f t="shared" si="91"/>
        <v>0</v>
      </c>
      <c r="FB49" s="149">
        <f t="shared" si="91"/>
        <v>0</v>
      </c>
      <c r="FC49" s="149">
        <f t="shared" si="91"/>
        <v>0</v>
      </c>
      <c r="FD49" s="149">
        <f t="shared" si="92"/>
        <v>0</v>
      </c>
      <c r="FE49" s="149">
        <f t="shared" si="92"/>
        <v>0</v>
      </c>
      <c r="FF49" s="149">
        <f t="shared" si="92"/>
        <v>0</v>
      </c>
      <c r="FG49" s="149">
        <f t="shared" si="92"/>
        <v>0</v>
      </c>
      <c r="FH49" s="149">
        <f t="shared" si="92"/>
        <v>0</v>
      </c>
      <c r="FI49" s="149">
        <f t="shared" si="92"/>
        <v>0</v>
      </c>
      <c r="FJ49" s="149">
        <f t="shared" si="92"/>
        <v>0</v>
      </c>
      <c r="FK49" s="149">
        <f t="shared" si="92"/>
        <v>0</v>
      </c>
      <c r="FL49" s="149">
        <f t="shared" si="92"/>
        <v>0</v>
      </c>
      <c r="FM49" s="149">
        <f t="shared" si="92"/>
        <v>0</v>
      </c>
      <c r="FN49" s="149">
        <f t="shared" si="93"/>
        <v>0</v>
      </c>
      <c r="FO49" s="149">
        <f t="shared" si="93"/>
        <v>0</v>
      </c>
      <c r="FP49" s="149">
        <f t="shared" si="93"/>
        <v>0</v>
      </c>
      <c r="FQ49" s="149">
        <f t="shared" si="93"/>
        <v>0</v>
      </c>
      <c r="FR49" s="149">
        <f t="shared" si="93"/>
        <v>0</v>
      </c>
      <c r="FS49" s="149">
        <f t="shared" si="93"/>
        <v>0</v>
      </c>
      <c r="FT49" s="149">
        <f t="shared" si="93"/>
        <v>0</v>
      </c>
      <c r="FU49" s="149">
        <f t="shared" si="93"/>
        <v>0</v>
      </c>
      <c r="FV49" s="149">
        <f t="shared" si="93"/>
        <v>0</v>
      </c>
      <c r="FW49" s="149">
        <f t="shared" si="93"/>
        <v>0</v>
      </c>
      <c r="FX49" s="149">
        <f t="shared" si="94"/>
        <v>0</v>
      </c>
      <c r="FY49" s="149">
        <f t="shared" si="94"/>
        <v>0</v>
      </c>
      <c r="FZ49" s="149">
        <f t="shared" si="94"/>
        <v>0</v>
      </c>
      <c r="GA49" s="149">
        <f t="shared" si="94"/>
        <v>0</v>
      </c>
      <c r="GB49" s="149">
        <f t="shared" si="94"/>
        <v>0</v>
      </c>
      <c r="GC49" s="149">
        <f t="shared" si="94"/>
        <v>0</v>
      </c>
      <c r="GD49" s="149">
        <f t="shared" si="94"/>
        <v>0</v>
      </c>
      <c r="GE49" s="149">
        <f t="shared" si="94"/>
        <v>0</v>
      </c>
      <c r="GF49" s="149">
        <f t="shared" si="108"/>
        <v>5</v>
      </c>
      <c r="GG49" s="149">
        <f t="shared" si="109"/>
        <v>8</v>
      </c>
      <c r="GH49" s="149">
        <f t="shared" si="110"/>
        <v>12</v>
      </c>
      <c r="GI49" s="149">
        <f t="shared" si="111"/>
        <v>0</v>
      </c>
      <c r="GJ49" s="149">
        <f t="shared" si="112"/>
        <v>0</v>
      </c>
      <c r="GK49" s="149">
        <f t="shared" si="113"/>
        <v>25</v>
      </c>
      <c r="GL49" s="149">
        <f t="shared" si="114"/>
        <v>23.809523809523807</v>
      </c>
      <c r="GM49" s="149">
        <f t="shared" si="115"/>
        <v>38.095238095238095</v>
      </c>
      <c r="GN49" s="149">
        <f t="shared" si="116"/>
        <v>57.142857142857139</v>
      </c>
      <c r="GO49" s="149">
        <f t="shared" si="117"/>
        <v>0</v>
      </c>
      <c r="GP49" s="149">
        <f t="shared" si="118"/>
        <v>0</v>
      </c>
      <c r="GQ49" s="149">
        <f t="shared" si="118"/>
        <v>0</v>
      </c>
      <c r="GR49" s="153">
        <f t="shared" ref="GR49:GR66" si="124">+IF(DG49="Suma",SUM(GL49:GQ49),AVERAGE(GL49:GQ49))</f>
        <v>119.04761904761904</v>
      </c>
      <c r="GS49" s="149">
        <f t="shared" si="119"/>
        <v>99.999999999999986</v>
      </c>
      <c r="GT49" s="149">
        <f>+IF(OR($A49=52,$A49=124),1,IFERROR(IF($X49="Creciente",IF($AB49="Número",SUM($GL49:GM49)/SUM($DO49:DP49)*($AX49-$AW49),SUM($GL49:GM49)/SUM($DO49:DP49))*($AX49-$AW49),IF($DG49="Creciente",GM49*GM49/GM49,IF(AND($DG49="Constante",$AB49="Porcentaje"),AVERAGEIF($GL49:GM49,"&lt;&gt;0")/AVERAGEIF($DO49:DP49,"&lt;&gt;0")*100,SUM($GL49:GM49)/SUM($DO49:DP49)*$DU49))),GS49))</f>
        <v>99.999999999999986</v>
      </c>
      <c r="GU49" s="149">
        <f>+IF(OR($A49=52,$A49=124),1,IFERROR(IF($X49="Creciente",IF($AB49="Número",SUM($GL49:GN49)/SUM($DO49:DQ49)*($AX49-$AW49),SUM($GL49:GN49)/SUM($DO49:DQ49))*($AX49-$AW49),IF($DG49="Creciente",GN49*GN49/GN49,IF(AND($DG49="Constante",$AB49="Porcentaje"),AVERAGEIF($GL49:GN49,"&lt;&gt;0")/AVERAGEIF($DO49:DQ49,"&lt;&gt;0")*100,SUM($GL49:GN49)/SUM($DO49:DQ49)*$DU49))),GT49))</f>
        <v>119.04761904761904</v>
      </c>
      <c r="GV49" s="149">
        <f>+IF(OR($A49=52,$A49=124),1,IFERROR(IF($X49="Creciente",IF($AB49="Número",SUM($GL49:GO49)/SUM($DO49:DR49)*($AX49-$AW49),SUM($GL49:GO49)/SUM($DO49:DR49))*($AX49-$AW49),IF($DG49="Creciente",GO49*GO49/GO49,IF(AND($DG49="Constante",$AB49="Porcentaje"),AVERAGEIF($GL49:GO49,"&lt;&gt;0")/AVERAGEIF($DO49:DR49,"&lt;&gt;0")*100,SUM($GL49:GO49)/SUM($DO49:DR49)*$DU49))),GU49))</f>
        <v>119.04761904761904</v>
      </c>
      <c r="GW49" s="149">
        <f>+IF(OR($A49=52,$A49=124),1,IFERROR(IF($X49="Creciente",IF($AB49="Número",SUM($GL49:GP49)/SUM($DO49:DS49)*($AX49-$AW49),SUM($GL49:GP49)/SUM($DO49:DS49))*($AX49-$AW49),IF($DG49="Creciente",GP49*GP49/GP49,IF(AND($DG49="Constante",$AB49="Porcentaje"),AVERAGEIF($GL49:GP49,"&lt;&gt;0")/AVERAGEIF($DO49:DS49,"&lt;&gt;0")*100,SUM($GL49:GP49)/SUM($DO49:DS49)*$DU49))),GV49))</f>
        <v>119.04761904761904</v>
      </c>
      <c r="GX49" s="149">
        <f>+IF(OR($A49=52,$A49=124),1,IFERROR(IF($X49="Creciente",IF($AB49="Número",SUM($GL49:GQ49)/SUM($DO49:DT49)*($AX49-$AW49),SUM($GL49:GQ49)/SUM($DO49:DT49))*($AX49-$AW49),IF($DG49="Creciente",GQ49*GQ49/GQ49,IF(AND($DG49="Constante",$AB49="Porcentaje"),AVERAGEIF($GL49:GQ49,"&lt;&gt;0")/AVERAGEIF($DO49:DT49,"&lt;&gt;0")*100,SUM($GL49:GQ49)/SUM($DO49:DT49)*$DU49))),GW49))</f>
        <v>119.04761904761904</v>
      </c>
      <c r="GY49" s="149" t="str">
        <f t="shared" si="120"/>
        <v>Mide el No de monitoreos realizados para evaluar la prestación del servicio en la Red CADE, en los diferentes canales de interacción ciudadana de la Secretaría General y en otros puntos de la Administración Distrital</v>
      </c>
      <c r="GZ49" s="149" t="str">
        <f t="shared" si="121"/>
        <v xml:space="preserve">• Realizar monitoreo para la medición, evaluación y seguimiento  del servicio en la Red CADE, en los diferentes canales de interacción ciudadana de la Secretaria General y en otros puntos de la Administración Distrital.
</v>
      </c>
      <c r="HA49" s="149" t="str">
        <f t="shared" si="122"/>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
      <c r="HB49" s="149" t="str">
        <f t="shared" si="123"/>
        <v xml:space="preserve">Informes de monitoreo a los puntos de atención monitoreados en el mes anterior. </v>
      </c>
      <c r="HC49" s="149" t="str">
        <f t="shared" si="98"/>
        <v>Cumple</v>
      </c>
      <c r="HD49" s="149" t="str">
        <f t="shared" si="98"/>
        <v>Cumplido</v>
      </c>
      <c r="HE49" s="149" t="str">
        <f t="shared" si="98"/>
        <v>Adecuado</v>
      </c>
      <c r="HF49" s="149" t="str">
        <f t="shared" si="98"/>
        <v>Coherente</v>
      </c>
      <c r="HG49" s="149" t="str">
        <f t="shared" si="98"/>
        <v>Concuerda</v>
      </c>
      <c r="HH49" s="149" t="str">
        <f t="shared" si="98"/>
        <v>Concuerda</v>
      </c>
      <c r="HI49" s="149">
        <f t="shared" si="98"/>
        <v>0</v>
      </c>
      <c r="HJ49" s="149" t="str">
        <f t="shared" si="98"/>
        <v>Adecuado</v>
      </c>
      <c r="HK49" s="149" t="str">
        <f t="shared" si="98"/>
        <v>Oportuna</v>
      </c>
      <c r="HL49" s="149" t="str">
        <f t="shared" si="98"/>
        <v>Ninguna</v>
      </c>
      <c r="HM49" s="149" t="str">
        <f t="shared" si="99"/>
        <v>Marcela Andrea García Guerrero</v>
      </c>
      <c r="HN49" s="149" t="str">
        <f t="shared" si="99"/>
        <v>No aplica</v>
      </c>
      <c r="HO49" s="149" t="str">
        <f t="shared" si="99"/>
        <v>No programó</v>
      </c>
      <c r="HP49" s="149" t="str">
        <f t="shared" si="99"/>
        <v>No aplica</v>
      </c>
      <c r="HQ49" s="149" t="str">
        <f t="shared" si="99"/>
        <v>No aplica</v>
      </c>
      <c r="HR49" s="149" t="str">
        <f t="shared" si="99"/>
        <v>No aplica</v>
      </c>
      <c r="HS49" s="149" t="str">
        <f t="shared" si="99"/>
        <v>No aplica</v>
      </c>
      <c r="HT49" s="149">
        <f t="shared" si="99"/>
        <v>0</v>
      </c>
      <c r="HU49" s="149" t="str">
        <f t="shared" si="99"/>
        <v>No aplica</v>
      </c>
      <c r="HV49" s="149" t="str">
        <f t="shared" si="99"/>
        <v>Oportuna</v>
      </c>
      <c r="HW49" s="149" t="str">
        <f t="shared" si="99"/>
        <v>Ninguna</v>
      </c>
      <c r="HX49" s="149" t="str">
        <f t="shared" si="99"/>
        <v>Marcela Andrea García Guerrero</v>
      </c>
    </row>
    <row r="50" spans="1:232" s="288" customFormat="1" x14ac:dyDescent="0.3">
      <c r="A50" s="287">
        <v>67</v>
      </c>
      <c r="B50" s="150" t="s">
        <v>1144</v>
      </c>
      <c r="C50" s="150" t="s">
        <v>1144</v>
      </c>
      <c r="D50" s="150" t="s">
        <v>1144</v>
      </c>
      <c r="E50" s="150" t="s">
        <v>1144</v>
      </c>
      <c r="F50" s="136" t="s">
        <v>1588</v>
      </c>
      <c r="G50" s="150" t="s">
        <v>1144</v>
      </c>
      <c r="H50" s="150" t="s">
        <v>1144</v>
      </c>
      <c r="I50" s="149" t="s">
        <v>1146</v>
      </c>
      <c r="J50" s="219" t="s">
        <v>183</v>
      </c>
      <c r="K50" s="219" t="s">
        <v>184</v>
      </c>
      <c r="L50" s="219" t="s">
        <v>185</v>
      </c>
      <c r="M50" s="219" t="s">
        <v>1478</v>
      </c>
      <c r="N50" s="219" t="s">
        <v>1479</v>
      </c>
      <c r="O50" s="219" t="s">
        <v>1589</v>
      </c>
      <c r="P50" s="148" t="s">
        <v>1588</v>
      </c>
      <c r="Q50" s="219" t="s">
        <v>1590</v>
      </c>
      <c r="R50" s="219" t="s">
        <v>1591</v>
      </c>
      <c r="S50" s="219" t="s">
        <v>1592</v>
      </c>
      <c r="T50" s="219" t="s">
        <v>1593</v>
      </c>
      <c r="U50" s="219">
        <v>0</v>
      </c>
      <c r="V50" s="219" t="s">
        <v>1594</v>
      </c>
      <c r="W50" s="148" t="s">
        <v>638</v>
      </c>
      <c r="X50" s="219" t="s">
        <v>638</v>
      </c>
      <c r="Y50" s="219" t="s">
        <v>1595</v>
      </c>
      <c r="Z50" s="219" t="s">
        <v>1596</v>
      </c>
      <c r="AA50" s="219" t="s">
        <v>1597</v>
      </c>
      <c r="AB50" s="219" t="s">
        <v>639</v>
      </c>
      <c r="AC50" s="219" t="s">
        <v>1271</v>
      </c>
      <c r="AD50" s="219" t="s">
        <v>1031</v>
      </c>
      <c r="AE50" s="219">
        <v>2016</v>
      </c>
      <c r="AF50" s="219">
        <v>1003</v>
      </c>
      <c r="AG50" s="219">
        <v>2016</v>
      </c>
      <c r="AH50" s="219">
        <v>1003</v>
      </c>
      <c r="AI50" s="219">
        <v>4000</v>
      </c>
      <c r="AJ50" s="219">
        <v>7000</v>
      </c>
      <c r="AK50" s="219">
        <v>3800</v>
      </c>
      <c r="AL50" s="220">
        <v>0</v>
      </c>
      <c r="AM50" s="219">
        <v>0</v>
      </c>
      <c r="AN50" s="146" t="s">
        <v>1144</v>
      </c>
      <c r="AO50" s="146" t="s">
        <v>1144</v>
      </c>
      <c r="AP50" s="146" t="s">
        <v>1144</v>
      </c>
      <c r="AQ50" s="146" t="s">
        <v>1144</v>
      </c>
      <c r="AR50" s="146" t="s">
        <v>1144</v>
      </c>
      <c r="AS50" s="150" t="s">
        <v>1144</v>
      </c>
      <c r="AT50" s="232">
        <v>1003</v>
      </c>
      <c r="AU50" s="232">
        <v>4000</v>
      </c>
      <c r="AV50" s="232">
        <v>7000</v>
      </c>
      <c r="AW50" s="232">
        <v>3800</v>
      </c>
      <c r="AX50" s="232">
        <v>1610</v>
      </c>
      <c r="AY50" s="232">
        <v>0</v>
      </c>
      <c r="AZ50" s="149"/>
      <c r="BA50" s="149"/>
      <c r="BB50" s="149"/>
      <c r="BC50" s="149"/>
      <c r="BD50" s="149">
        <v>0</v>
      </c>
      <c r="BE50" s="149"/>
      <c r="BF50" s="149"/>
      <c r="BG50" s="149"/>
      <c r="BH50" s="149"/>
      <c r="BI50" s="149"/>
      <c r="BJ50" s="149">
        <v>0</v>
      </c>
      <c r="BK50" s="146" t="s">
        <v>1144</v>
      </c>
      <c r="BL50" s="146" t="s">
        <v>1144</v>
      </c>
      <c r="BM50" s="146" t="s">
        <v>1144</v>
      </c>
      <c r="BN50" s="146" t="s">
        <v>1144</v>
      </c>
      <c r="BO50" s="146" t="s">
        <v>1144</v>
      </c>
      <c r="BP50" s="146" t="s">
        <v>1144</v>
      </c>
      <c r="BQ50" s="146" t="s">
        <v>1144</v>
      </c>
      <c r="BR50" s="146" t="s">
        <v>1144</v>
      </c>
      <c r="BS50" s="150" t="s">
        <v>1144</v>
      </c>
      <c r="BT50" s="150" t="s">
        <v>1144</v>
      </c>
      <c r="BU50" s="150" t="s">
        <v>1144</v>
      </c>
      <c r="BV50" s="150" t="s">
        <v>1144</v>
      </c>
      <c r="BW50" s="219" t="s">
        <v>1144</v>
      </c>
      <c r="BX50" s="219" t="s">
        <v>1144</v>
      </c>
      <c r="BY50" s="219">
        <v>1</v>
      </c>
      <c r="BZ50" s="219">
        <v>1</v>
      </c>
      <c r="CA50" s="219" t="s">
        <v>1144</v>
      </c>
      <c r="CB50" s="219" t="s">
        <v>1144</v>
      </c>
      <c r="CC50" s="219" t="s">
        <v>1144</v>
      </c>
      <c r="CD50" s="219">
        <v>1</v>
      </c>
      <c r="CE50" s="219" t="s">
        <v>286</v>
      </c>
      <c r="CF50" s="219">
        <v>1</v>
      </c>
      <c r="CG50" s="219" t="s">
        <v>1144</v>
      </c>
      <c r="CH50" s="219" t="s">
        <v>1144</v>
      </c>
      <c r="CI50" s="219" t="s">
        <v>1144</v>
      </c>
      <c r="CJ50" s="219">
        <v>1</v>
      </c>
      <c r="CK50" s="219">
        <v>1</v>
      </c>
      <c r="CL50" s="219" t="s">
        <v>1144</v>
      </c>
      <c r="CM50" s="219" t="s">
        <v>1144</v>
      </c>
      <c r="CN50" s="219" t="s">
        <v>1144</v>
      </c>
      <c r="CO50" s="219" t="s">
        <v>1144</v>
      </c>
      <c r="CP50" s="219" t="s">
        <v>1144</v>
      </c>
      <c r="CQ50" s="219" t="s">
        <v>1144</v>
      </c>
      <c r="CR50" s="219" t="s">
        <v>1144</v>
      </c>
      <c r="CS50" s="219" t="s">
        <v>1144</v>
      </c>
      <c r="CT50" s="219" t="s">
        <v>1144</v>
      </c>
      <c r="CU50" s="219" t="s">
        <v>1144</v>
      </c>
      <c r="CV50" s="219" t="s">
        <v>1144</v>
      </c>
      <c r="CW50" s="219" t="s">
        <v>1144</v>
      </c>
      <c r="CX50" s="219" t="s">
        <v>1144</v>
      </c>
      <c r="CY50" s="219" t="s">
        <v>1144</v>
      </c>
      <c r="CZ50" s="219" t="s">
        <v>1144</v>
      </c>
      <c r="DA50" s="219" t="s">
        <v>1144</v>
      </c>
      <c r="DB50" s="152" t="str">
        <f t="shared" si="32"/>
        <v xml:space="preserve">Plan Estratégico Institucional, Plan de Acción, SGC, PROCESO: Gestión del Sistema Distrital de servicio a la ciudadanía, PAAC, MUJER, LGBTI, </v>
      </c>
      <c r="DC50" s="149" t="str">
        <f t="shared" si="88"/>
        <v>Mide el No de servidores(as)  fortalecidos en sus conocimientos, habilidades y actitudes en el servicio a la ciudadanía.</v>
      </c>
      <c r="DD50" s="149" t="str">
        <f t="shared" si="88"/>
        <v xml:space="preserve">• Realizar cualificación de servidores  </v>
      </c>
      <c r="DE50" s="149" t="str">
        <f t="shared" si="88"/>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
      <c r="DF50" s="149" t="str">
        <f t="shared" si="88"/>
        <v>Registros de Asistencia  (Formato 2211300-FT-211 PDF)
Cuadro resumen de cualificaciones</v>
      </c>
      <c r="DG50" s="149" t="str">
        <f t="shared" si="88"/>
        <v>Suma</v>
      </c>
      <c r="DH50" s="149">
        <f t="shared" si="101"/>
        <v>1610</v>
      </c>
      <c r="DI50" s="149">
        <f t="shared" si="102"/>
        <v>10</v>
      </c>
      <c r="DJ50" s="149">
        <f t="shared" si="103"/>
        <v>100</v>
      </c>
      <c r="DK50" s="149">
        <f t="shared" si="104"/>
        <v>207</v>
      </c>
      <c r="DL50" s="149">
        <f t="shared" si="105"/>
        <v>393</v>
      </c>
      <c r="DM50" s="149">
        <f t="shared" si="106"/>
        <v>450</v>
      </c>
      <c r="DN50" s="149">
        <f t="shared" si="107"/>
        <v>450</v>
      </c>
      <c r="DO50" s="149">
        <f t="shared" si="100"/>
        <v>10</v>
      </c>
      <c r="DP50" s="149">
        <f t="shared" si="100"/>
        <v>100</v>
      </c>
      <c r="DQ50" s="149">
        <f t="shared" si="100"/>
        <v>207</v>
      </c>
      <c r="DR50" s="149">
        <f t="shared" si="100"/>
        <v>393</v>
      </c>
      <c r="DS50" s="149">
        <f t="shared" si="100"/>
        <v>450</v>
      </c>
      <c r="DT50" s="149">
        <f t="shared" si="100"/>
        <v>450</v>
      </c>
      <c r="DU50" s="149">
        <f t="shared" si="89"/>
        <v>1610</v>
      </c>
      <c r="DV50" s="149">
        <f t="shared" si="89"/>
        <v>11</v>
      </c>
      <c r="DW50" s="149" t="str">
        <f t="shared" si="89"/>
        <v/>
      </c>
      <c r="DX50" s="149" t="str">
        <f t="shared" si="89"/>
        <v>Durante el mes de enero se realizaron dos (2) jornadas de cualificación, en las cuales se alcanzó en total a 11 servidores(as) públicos y otros de la Administración Distrital y entidades presentes en la Red CADE, cualificándolos en sus conocimientos, habilidades y actitudes en el servicio a la ciudadanía, especificamente en temáticas de Conceptos de Servicio 
La fuentes de verificación 2 archivos: 
1 archivo PDF "Asistencia Cualificación mes de enero" contienen los listados de asistencia a las cualificaciones realizadas  en el mes de enero/2020.
1 archivo PDF Consolidado Cualificac enero 2020</v>
      </c>
      <c r="DY50" s="149" t="str">
        <f t="shared" si="89"/>
        <v>NA</v>
      </c>
      <c r="DZ50" s="149" t="str">
        <f t="shared" si="89"/>
        <v xml:space="preserve">Se fortalecieron los conocimientos, habilidades y actitudes de 11 servidores(as) públicos y otros,  de la Administración Distrital y entidades presentes en la Red CADE, para el mejoramiento en la prestación  del  servicio a la ciudadanía, en el marco de la Política Pública de Servicio a la Ciudadanía. </v>
      </c>
      <c r="EA50" s="149">
        <f t="shared" si="89"/>
        <v>104</v>
      </c>
      <c r="EB50" s="149" t="str">
        <f t="shared" si="89"/>
        <v/>
      </c>
      <c r="EC50" s="149" t="str">
        <f t="shared" si="89"/>
        <v>Durante el mes de febrero se realizaron seis  (6) jornadas de cualificación, en las cuales se alcanzó en total a 104 servidores(as) públicos y otros de la Administración Distrital y entidades presentes en la Red CADE, cualificándolos en sus conocimientos, habilidades y actitudes en el servicio a la ciudadanía, especificamente en temáticas de Conceptos de Servicio 
Las fuentes de verificación 2 archivos:
 1 archivo PDF "Asistencia Cualificación mes de febrero" contiene los listados de asistencia a las cualificaciones realizadas en el mes de febrero/2020.
1 archivo PDF Consolidado Cualificac febrero 2020</v>
      </c>
      <c r="ED50" s="149" t="str">
        <f t="shared" si="89"/>
        <v>N.A</v>
      </c>
      <c r="EE50" s="149" t="str">
        <f t="shared" si="90"/>
        <v xml:space="preserve">Se fortalecieron los conocimientos, habilidades y actitudes de 104 servidores(as) públicos y otros, de la Administración Distrital y entidades presentes en la Red CADE, para el mejoramiento en la prestación  del  servicio a la ciudadanía, en el marco de la Política Pública de Servicio a la Ciudadanía. </v>
      </c>
      <c r="EF50" s="149">
        <f t="shared" si="90"/>
        <v>207</v>
      </c>
      <c r="EG50" s="149" t="str">
        <f t="shared" si="90"/>
        <v/>
      </c>
      <c r="EH50" s="149" t="str">
        <f t="shared" si="90"/>
        <v>Durante el mes de marzo se realizaron seis  (6) jornadas de cualificación, en las cuales se alcanzó en total a 207  servidores(as) públicos y otros de la Administración Distrital y entidades presentes en la Red CADE, cualificándolos en sus conocimientos, habilidades y actitudes en el servicio a la ciudadanía, especificamente en temáticas de Conceptos de Servicio 
Las  fuentes de verificación 2 archivos:
1 archivo PDF "Asistencia Cualificación mes de marzo" contiene los listados de asistencia a las cualificaciones realizadas en el mes de marzo/2020.
1 archivo PDF Consolidado Cualificac marzo 2020</v>
      </c>
      <c r="EI50" s="149" t="str">
        <f t="shared" si="90"/>
        <v>N.A</v>
      </c>
      <c r="EJ50" s="149" t="str">
        <f t="shared" si="90"/>
        <v xml:space="preserve">Se fortalecieron los conocimientos, habilidades y actitudes de 207 servidores(as) públicos y otros, de la Administración Distrital y entidades presentes en la Red CADE, para el mejoramiento en la prestación  del  servicio a la ciudadanía, en el marco de la Política Pública de Servicio a la Ciudadanía. </v>
      </c>
      <c r="EK50" s="149">
        <f t="shared" si="90"/>
        <v>745</v>
      </c>
      <c r="EL50" s="149" t="str">
        <f t="shared" si="90"/>
        <v/>
      </c>
      <c r="EM50" s="149" t="str">
        <f t="shared" si="90"/>
        <v xml:space="preserve">Durante el mes de abril  se cualficaron   745 servidores(as) públicos y otros de la Administración Distrital y entidades presentes en la Red CADE, cualificándolos en sus conocimientos, habilidades y actitudes en el servicio a la ciudadanía (temáticas:  Conceptos de Servicio, Escuchando nuestro lenguaje,  Creando confianza, Resolución de Conflictos, Ética y transparencia,   Didácticas para una ciudadanía inconforme, Ver más allá con inteligencia social) mediante Herramientas virtuales, así:
Cualificados Herramienta E cualificación (Gamificación) : 570    
Cualificados Herramienta MEETS: 173    
Las fuentes de verificación 4 archivos: 
. "Archivo excell Reporte  Gamificacion servidores cualific abril"
. Archivo PDF Formato 211 Asistencia Cualific  Herramienta MEEDS (Se aclara qu el formato no cuenta con diligenciamiento de todos los datos teniendo en cuenta que los firmantes son   jóvenes de la Unidad de Prevención Integral de la Localidad de Bosa -IDIPRON ,  internados en dicha unidad, que  están en la última etapa del Modelo Pedagógico de IDIPRON,  para posteriormente ser seleccionados a participar  como servidores públicos en entidades distritales, que no cuentan con dichos datos).
. Archivo PDF Oficio de IDIPRON en donde se aclara que los jovenes no cuentan con correo ni teléfono.
1 archivo PDF Consolidado Cualificac. abril  2020
</v>
      </c>
      <c r="EN50" s="149" t="str">
        <f t="shared" si="90"/>
        <v>N.A</v>
      </c>
      <c r="EO50" s="149" t="str">
        <f t="shared" si="91"/>
        <v xml:space="preserve">Se fortalecieron los conocimientos, habilidades y actitudes de 745 servidores(as) públicos y otros, de la Administración Distrital y entidades presentes en la Red CADE, para el mejoramiento en la prestación  del  servicio a la ciudadanía, en el marco de la Política Pública de Servicio a la Ciudadanía. </v>
      </c>
      <c r="EP50" s="149">
        <f t="shared" si="91"/>
        <v>777</v>
      </c>
      <c r="EQ50" s="149" t="str">
        <f t="shared" si="91"/>
        <v/>
      </c>
      <c r="ER50" s="149" t="str">
        <f t="shared" si="91"/>
        <v>Durante el mes de mayo  se cualficaron   777 servidores(as) públicos y otros de la Administración Distrital y entidades presentes en la Red CADE, cualificándolos en sus conocimientos, habilidades y actitudes en el servicio a la ciudadanía (temáticas:  Conceptos de Servicio, Escuchando nuestro lenguaje,  Creando confianza, Resolución de Conflictos, Ética y transparencial) mediante Herramientas virtuales, así:
Cualificados Herramienta E cualificación (Gamificación) : 728
Cualificados Herramienta MEETS: 49 .
Las fuentes de verificación 5 archivos: 
. "Archivo excel Reporte  Gamificacion servidores cualificados mayo"
. Archivo PDF Formato 211 Asistencia Cualific  -IDIPRON -Herramienta MEEDS-18 Mayo/2020.
.Archivo Excel  Formato FT 211 Asistencia  Cualif  IDRD -Herramienta MEEDs 26 mayo/2020. - El formato  fue diligenciado digitalmente por parte del enlace de IDRD, según lo acordado con la entidad en reunión inicial, para facilitar el diligenciamiento de los formatos propios del Procedimiento de Cualificación,  como medida de Prevención del COVID-19 (se anexa  copia acta Reunión).
. Archivo PDF copia Acta Reunión IDRD.
1 archivo PDF Consolidado Cualificac. mayo  2020</v>
      </c>
      <c r="ES50" s="149" t="str">
        <f t="shared" si="91"/>
        <v>N/A</v>
      </c>
      <c r="ET50" s="149" t="str">
        <f t="shared" si="91"/>
        <v xml:space="preserve">Se fortalecieron los conocimientos, habilidades y actitudes de 777 servidores(as) públicos y otros, de la Administración Distrital y entidades presentes en la Red CADE, para el mejoramiento en la prestación  del  servicio a la ciudadanía, en el marco de la Política Pública de Servicio a la Ciudadanía. </v>
      </c>
      <c r="EU50" s="149">
        <f t="shared" si="91"/>
        <v>810</v>
      </c>
      <c r="EV50" s="149" t="str">
        <f t="shared" si="91"/>
        <v/>
      </c>
      <c r="EW50" s="149" t="str">
        <f t="shared" si="91"/>
        <v>Durante el mes de junio  se cualficaron   810 servidores(as) públicos y otros de la Administración Distrital y entidades presentes en la Red CADE, cualificándolos en sus conocimientos, habilidades y actitudes en el servicio a la ciudadanía (temáticas:  Estrategias humanas efectivas,  Escuchando nuestro lenguaje, Conceptos de Servicio,  Creando confianza, Resolución de Conflictos, Ética y transparencial) mediante Herramientas virtuales, e interactivo presencial así:
Interactivo presencial: 11
Cualificados Herramienta MEETS: 41
Cualificados Herramienta E cualificación (Gamificación) : 758</v>
      </c>
      <c r="EX50" s="149" t="str">
        <f t="shared" si="91"/>
        <v>N.A</v>
      </c>
      <c r="EY50" s="149" t="str">
        <f t="shared" si="91"/>
        <v xml:space="preserve">Se fortalecieron los conocimientos, habilidades y actitudes de 810  servidores(as) públicos y otros, de la Administración Distrital y entidades presentes en la Red CADE, para el mejoramiento en la prestación  del  servicio a la ciudadanía, en el marco de la Política Pública de Servicio a la Ciudadanía. </v>
      </c>
      <c r="EZ50" s="149">
        <f t="shared" si="91"/>
        <v>2654</v>
      </c>
      <c r="FA50" s="149">
        <f t="shared" si="91"/>
        <v>0</v>
      </c>
      <c r="FB50" s="149">
        <f t="shared" si="91"/>
        <v>0</v>
      </c>
      <c r="FC50" s="149">
        <f t="shared" si="91"/>
        <v>0</v>
      </c>
      <c r="FD50" s="149">
        <f t="shared" si="92"/>
        <v>0</v>
      </c>
      <c r="FE50" s="149">
        <f t="shared" si="92"/>
        <v>0</v>
      </c>
      <c r="FF50" s="149">
        <f t="shared" si="92"/>
        <v>0</v>
      </c>
      <c r="FG50" s="149">
        <f t="shared" si="92"/>
        <v>0</v>
      </c>
      <c r="FH50" s="149">
        <f t="shared" si="92"/>
        <v>0</v>
      </c>
      <c r="FI50" s="149">
        <f t="shared" si="92"/>
        <v>0</v>
      </c>
      <c r="FJ50" s="149">
        <f t="shared" si="92"/>
        <v>0</v>
      </c>
      <c r="FK50" s="149">
        <f t="shared" si="92"/>
        <v>0</v>
      </c>
      <c r="FL50" s="149">
        <f t="shared" si="92"/>
        <v>0</v>
      </c>
      <c r="FM50" s="149">
        <f t="shared" si="92"/>
        <v>0</v>
      </c>
      <c r="FN50" s="149">
        <f t="shared" si="93"/>
        <v>0</v>
      </c>
      <c r="FO50" s="149">
        <f t="shared" si="93"/>
        <v>0</v>
      </c>
      <c r="FP50" s="149">
        <f t="shared" si="93"/>
        <v>0</v>
      </c>
      <c r="FQ50" s="149">
        <f t="shared" si="93"/>
        <v>0</v>
      </c>
      <c r="FR50" s="149">
        <f t="shared" si="93"/>
        <v>0</v>
      </c>
      <c r="FS50" s="149">
        <f t="shared" si="93"/>
        <v>0</v>
      </c>
      <c r="FT50" s="149">
        <f t="shared" si="93"/>
        <v>0</v>
      </c>
      <c r="FU50" s="149">
        <f t="shared" si="93"/>
        <v>0</v>
      </c>
      <c r="FV50" s="149">
        <f t="shared" si="93"/>
        <v>0</v>
      </c>
      <c r="FW50" s="149">
        <f t="shared" si="93"/>
        <v>0</v>
      </c>
      <c r="FX50" s="149">
        <f t="shared" si="94"/>
        <v>0</v>
      </c>
      <c r="FY50" s="149">
        <f t="shared" si="94"/>
        <v>0</v>
      </c>
      <c r="FZ50" s="149">
        <f t="shared" si="94"/>
        <v>0</v>
      </c>
      <c r="GA50" s="149">
        <f t="shared" si="94"/>
        <v>0</v>
      </c>
      <c r="GB50" s="149">
        <f t="shared" si="94"/>
        <v>0</v>
      </c>
      <c r="GC50" s="149">
        <f t="shared" si="94"/>
        <v>0</v>
      </c>
      <c r="GD50" s="149">
        <f t="shared" si="94"/>
        <v>0</v>
      </c>
      <c r="GE50" s="149">
        <f t="shared" si="94"/>
        <v>0</v>
      </c>
      <c r="GF50" s="149">
        <f t="shared" si="108"/>
        <v>11</v>
      </c>
      <c r="GG50" s="149">
        <f t="shared" si="109"/>
        <v>104</v>
      </c>
      <c r="GH50" s="149">
        <f t="shared" si="110"/>
        <v>207</v>
      </c>
      <c r="GI50" s="149">
        <f t="shared" si="111"/>
        <v>745</v>
      </c>
      <c r="GJ50" s="149">
        <f t="shared" si="112"/>
        <v>777</v>
      </c>
      <c r="GK50" s="149">
        <f t="shared" si="113"/>
        <v>2654</v>
      </c>
      <c r="GL50" s="149">
        <f t="shared" si="114"/>
        <v>0.68322981366459623</v>
      </c>
      <c r="GM50" s="149">
        <f t="shared" si="115"/>
        <v>6.4596273291925463</v>
      </c>
      <c r="GN50" s="149">
        <f t="shared" si="116"/>
        <v>12.857142857142856</v>
      </c>
      <c r="GO50" s="149">
        <f t="shared" si="117"/>
        <v>46.273291925465834</v>
      </c>
      <c r="GP50" s="149">
        <f t="shared" si="118"/>
        <v>48.260869565217391</v>
      </c>
      <c r="GQ50" s="149">
        <f t="shared" si="118"/>
        <v>50.310559006211179</v>
      </c>
      <c r="GR50" s="153">
        <f t="shared" si="124"/>
        <v>164.84472049689441</v>
      </c>
      <c r="GS50" s="149">
        <f t="shared" si="119"/>
        <v>109.99999999999999</v>
      </c>
      <c r="GT50" s="149">
        <f>+IF(OR($A50=52,$A50=124),1,IFERROR(IF($X50="Creciente",IF($AB50="Número",SUM($GL50:GM50)/SUM($DO50:DP50)*($AX50-$AW50),SUM($GL50:GM50)/SUM($DO50:DP50))*($AX50-$AW50),IF($DG50="Creciente",GM50*GM50/GM50,IF(AND($DG50="Constante",$AB50="Porcentaje"),AVERAGEIF($GL50:GM50,"&lt;&gt;0")/AVERAGEIF($DO50:DP50,"&lt;&gt;0")*100,SUM($GL50:GM50)/SUM($DO50:DP50)*$DU50))),GS50))</f>
        <v>104.54545454545453</v>
      </c>
      <c r="GU50" s="149">
        <f>+IF(OR($A50=52,$A50=124),1,IFERROR(IF($X50="Creciente",IF($AB50="Número",SUM($GL50:GN50)/SUM($DO50:DQ50)*($AX50-$AW50),SUM($GL50:GN50)/SUM($DO50:DQ50))*($AX50-$AW50),IF($DG50="Creciente",GN50*GN50/GN50,IF(AND($DG50="Constante",$AB50="Porcentaje"),AVERAGEIF($GL50:GN50,"&lt;&gt;0")/AVERAGEIF($DO50:DQ50,"&lt;&gt;0")*100,SUM($GL50:GN50)/SUM($DO50:DQ50)*$DU50))),GT50))</f>
        <v>101.57728706624606</v>
      </c>
      <c r="GV50" s="149">
        <f>+IF(OR($A50=52,$A50=124),1,IFERROR(IF($X50="Creciente",IF($AB50="Número",SUM($GL50:GO50)/SUM($DO50:DR50)*($AX50-$AW50),SUM($GL50:GO50)/SUM($DO50:DR50))*($AX50-$AW50),IF($DG50="Creciente",GO50*GO50/GO50,IF(AND($DG50="Constante",$AB50="Porcentaje"),AVERAGEIF($GL50:GO50,"&lt;&gt;0")/AVERAGEIF($DO50:DR50,"&lt;&gt;0")*100,SUM($GL50:GO50)/SUM($DO50:DR50)*$DU50))),GU50))</f>
        <v>150.28169014084503</v>
      </c>
      <c r="GW50" s="149">
        <f>+IF(OR($A50=52,$A50=124),1,IFERROR(IF($X50="Creciente",IF($AB50="Número",SUM($GL50:GP50)/SUM($DO50:DS50)*($AX50-$AW50),SUM($GL50:GP50)/SUM($DO50:DS50))*($AX50-$AW50),IF($DG50="Creciente",GP50*GP50/GP50,IF(AND($DG50="Constante",$AB50="Porcentaje"),AVERAGEIF($GL50:GP50,"&lt;&gt;0")/AVERAGEIF($DO50:DS50,"&lt;&gt;0")*100,SUM($GL50:GP50)/SUM($DO50:DS50)*$DU50))),GV50))</f>
        <v>158.96551724137927</v>
      </c>
      <c r="GX50" s="149">
        <f>+IF(OR($A50=52,$A50=124),1,IFERROR(IF($X50="Creciente",IF($AB50="Número",SUM($GL50:GQ50)/SUM($DO50:DT50)*($AX50-$AW50),SUM($GL50:GQ50)/SUM($DO50:DT50))*($AX50-$AW50),IF($DG50="Creciente",GQ50*GQ50/GQ50,IF(AND($DG50="Constante",$AB50="Porcentaje"),AVERAGEIF($GL50:GQ50,"&lt;&gt;0")/AVERAGEIF($DO50:DT50,"&lt;&gt;0")*100,SUM($GL50:GQ50)/SUM($DO50:DT50)*$DU50))),GW50))</f>
        <v>164.84472049689441</v>
      </c>
      <c r="GY50" s="149" t="str">
        <f t="shared" si="120"/>
        <v>Mide el No de servidores(as)  fortalecidos en sus conocimientos, habilidades y actitudes en el servicio a la ciudadanía.</v>
      </c>
      <c r="GZ50" s="149" t="str">
        <f t="shared" si="121"/>
        <v xml:space="preserve">• Realizar cualificación de servidores  </v>
      </c>
      <c r="HA50" s="149" t="str">
        <f t="shared" si="122"/>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
      <c r="HB50" s="149" t="str">
        <f t="shared" si="123"/>
        <v>Registros de Asistencia  (Formato 2211300-FT-211 PDF)
Cuadro resumen de cualificaciones</v>
      </c>
      <c r="HC50" s="149" t="str">
        <f t="shared" si="98"/>
        <v>Cumple</v>
      </c>
      <c r="HD50" s="149" t="str">
        <f t="shared" si="98"/>
        <v>Cumplido</v>
      </c>
      <c r="HE50" s="149" t="str">
        <f t="shared" si="98"/>
        <v>Adecuado</v>
      </c>
      <c r="HF50" s="149" t="str">
        <f t="shared" si="98"/>
        <v>Coherente</v>
      </c>
      <c r="HG50" s="149" t="str">
        <f t="shared" si="98"/>
        <v>Concuerda</v>
      </c>
      <c r="HH50" s="149" t="str">
        <f t="shared" si="98"/>
        <v>Concuerda</v>
      </c>
      <c r="HI50" s="149">
        <f t="shared" si="98"/>
        <v>0</v>
      </c>
      <c r="HJ50" s="149" t="str">
        <f t="shared" si="98"/>
        <v>Adecuado</v>
      </c>
      <c r="HK50" s="149" t="str">
        <f t="shared" si="98"/>
        <v>Oportuna</v>
      </c>
      <c r="HL50" s="149" t="str">
        <f t="shared" si="98"/>
        <v>Ninguna</v>
      </c>
      <c r="HM50" s="149" t="str">
        <f t="shared" si="99"/>
        <v>Marcela Andrea García Guerrero</v>
      </c>
      <c r="HN50" s="149" t="str">
        <f t="shared" si="99"/>
        <v>Cumple</v>
      </c>
      <c r="HO50" s="149" t="str">
        <f t="shared" si="99"/>
        <v>Cumplido</v>
      </c>
      <c r="HP50" s="149" t="str">
        <f t="shared" si="99"/>
        <v>Adecuado</v>
      </c>
      <c r="HQ50" s="149" t="str">
        <f t="shared" si="99"/>
        <v>Coherente</v>
      </c>
      <c r="HR50" s="149" t="str">
        <f t="shared" si="99"/>
        <v>Concuerda</v>
      </c>
      <c r="HS50" s="149" t="str">
        <f t="shared" si="99"/>
        <v>Concuerda</v>
      </c>
      <c r="HT50" s="149">
        <f t="shared" si="99"/>
        <v>0</v>
      </c>
      <c r="HU50" s="149" t="str">
        <f t="shared" si="99"/>
        <v>Adecuado</v>
      </c>
      <c r="HV50" s="149" t="str">
        <f t="shared" si="99"/>
        <v>Oportuna</v>
      </c>
      <c r="HW50" s="149" t="str">
        <f t="shared" si="99"/>
        <v>Ninguna</v>
      </c>
      <c r="HX50" s="149" t="str">
        <f t="shared" si="99"/>
        <v>Marcela Andrea García Guerrero</v>
      </c>
    </row>
    <row r="51" spans="1:232" s="149" customFormat="1" x14ac:dyDescent="0.3">
      <c r="A51" s="287">
        <v>69</v>
      </c>
      <c r="B51" s="150" t="s">
        <v>1144</v>
      </c>
      <c r="C51" s="150" t="s">
        <v>1144</v>
      </c>
      <c r="D51" s="150" t="s">
        <v>1144</v>
      </c>
      <c r="E51" s="150" t="s">
        <v>1144</v>
      </c>
      <c r="F51" s="136" t="s">
        <v>1598</v>
      </c>
      <c r="G51" s="150" t="s">
        <v>1144</v>
      </c>
      <c r="H51" s="150" t="s">
        <v>1144</v>
      </c>
      <c r="I51" s="149" t="s">
        <v>1146</v>
      </c>
      <c r="J51" s="219" t="s">
        <v>183</v>
      </c>
      <c r="K51" s="219" t="s">
        <v>184</v>
      </c>
      <c r="L51" s="219" t="s">
        <v>185</v>
      </c>
      <c r="M51" s="219" t="s">
        <v>1478</v>
      </c>
      <c r="N51" s="219" t="s">
        <v>1479</v>
      </c>
      <c r="O51" s="219" t="s">
        <v>1599</v>
      </c>
      <c r="P51" s="148" t="s">
        <v>1598</v>
      </c>
      <c r="Q51" s="219" t="s">
        <v>1600</v>
      </c>
      <c r="R51" s="219" t="s">
        <v>1601</v>
      </c>
      <c r="S51" s="219" t="s">
        <v>1602</v>
      </c>
      <c r="T51" s="219" t="s">
        <v>1603</v>
      </c>
      <c r="U51" s="219">
        <v>0</v>
      </c>
      <c r="V51" s="219" t="s">
        <v>1604</v>
      </c>
      <c r="W51" s="148" t="s">
        <v>601</v>
      </c>
      <c r="X51" s="219" t="s">
        <v>601</v>
      </c>
      <c r="Y51" s="219" t="s">
        <v>1605</v>
      </c>
      <c r="Z51" s="219" t="s">
        <v>1606</v>
      </c>
      <c r="AA51" s="219" t="s">
        <v>1607</v>
      </c>
      <c r="AB51" s="219" t="s">
        <v>639</v>
      </c>
      <c r="AC51" s="219" t="s">
        <v>1271</v>
      </c>
      <c r="AD51" s="219" t="s">
        <v>1160</v>
      </c>
      <c r="AE51" s="219">
        <v>2016</v>
      </c>
      <c r="AF51" s="219">
        <v>0</v>
      </c>
      <c r="AG51" s="219">
        <v>2016</v>
      </c>
      <c r="AH51" s="219" t="s">
        <v>1608</v>
      </c>
      <c r="AI51" s="219">
        <v>10</v>
      </c>
      <c r="AJ51" s="219">
        <v>16</v>
      </c>
      <c r="AK51" s="219">
        <v>22</v>
      </c>
      <c r="AL51" s="220">
        <v>10</v>
      </c>
      <c r="AM51" s="219">
        <v>0</v>
      </c>
      <c r="AN51" s="146" t="s">
        <v>1144</v>
      </c>
      <c r="AO51" s="146" t="s">
        <v>1144</v>
      </c>
      <c r="AP51" s="146" t="s">
        <v>1144</v>
      </c>
      <c r="AQ51" s="146" t="s">
        <v>1144</v>
      </c>
      <c r="AR51" s="146" t="s">
        <v>1144</v>
      </c>
      <c r="AS51" s="150" t="s">
        <v>1144</v>
      </c>
      <c r="AT51" s="232" t="s">
        <v>1608</v>
      </c>
      <c r="AU51" s="232">
        <v>10</v>
      </c>
      <c r="AV51" s="232">
        <v>16</v>
      </c>
      <c r="AW51" s="232">
        <v>22</v>
      </c>
      <c r="AX51" s="232">
        <v>10</v>
      </c>
      <c r="AY51" s="232">
        <v>0</v>
      </c>
      <c r="BD51" s="149">
        <v>0</v>
      </c>
      <c r="BJ51" s="149">
        <v>0</v>
      </c>
      <c r="BK51" s="146" t="s">
        <v>1144</v>
      </c>
      <c r="BL51" s="146" t="s">
        <v>1144</v>
      </c>
      <c r="BM51" s="146" t="s">
        <v>1144</v>
      </c>
      <c r="BN51" s="146" t="s">
        <v>1144</v>
      </c>
      <c r="BO51" s="146" t="s">
        <v>1144</v>
      </c>
      <c r="BP51" s="146" t="s">
        <v>1144</v>
      </c>
      <c r="BQ51" s="146" t="s">
        <v>1144</v>
      </c>
      <c r="BR51" s="146" t="s">
        <v>1144</v>
      </c>
      <c r="BS51" s="150" t="s">
        <v>1144</v>
      </c>
      <c r="BT51" s="150" t="s">
        <v>1144</v>
      </c>
      <c r="BU51" s="150" t="s">
        <v>1144</v>
      </c>
      <c r="BV51" s="150" t="s">
        <v>1144</v>
      </c>
      <c r="BW51" s="219" t="s">
        <v>1144</v>
      </c>
      <c r="BX51" s="219" t="s">
        <v>1144</v>
      </c>
      <c r="BY51" s="219">
        <v>1</v>
      </c>
      <c r="BZ51" s="219">
        <v>1</v>
      </c>
      <c r="CA51" s="219" t="s">
        <v>1144</v>
      </c>
      <c r="CB51" s="219" t="s">
        <v>1144</v>
      </c>
      <c r="CC51" s="219" t="s">
        <v>1144</v>
      </c>
      <c r="CD51" s="219" t="s">
        <v>1144</v>
      </c>
      <c r="CE51" s="219" t="s">
        <v>1144</v>
      </c>
      <c r="CF51" s="219" t="s">
        <v>1144</v>
      </c>
      <c r="CG51" s="219" t="s">
        <v>1144</v>
      </c>
      <c r="CH51" s="219" t="s">
        <v>1144</v>
      </c>
      <c r="CI51" s="219" t="s">
        <v>1144</v>
      </c>
      <c r="CJ51" s="219" t="s">
        <v>1144</v>
      </c>
      <c r="CK51" s="219" t="s">
        <v>1144</v>
      </c>
      <c r="CL51" s="219" t="s">
        <v>1144</v>
      </c>
      <c r="CM51" s="219" t="s">
        <v>1144</v>
      </c>
      <c r="CN51" s="219" t="s">
        <v>1144</v>
      </c>
      <c r="CO51" s="219" t="s">
        <v>1144</v>
      </c>
      <c r="CP51" s="219" t="s">
        <v>1144</v>
      </c>
      <c r="CQ51" s="219" t="s">
        <v>1144</v>
      </c>
      <c r="CR51" s="219" t="s">
        <v>1144</v>
      </c>
      <c r="CS51" s="219" t="s">
        <v>1144</v>
      </c>
      <c r="CT51" s="219" t="s">
        <v>1144</v>
      </c>
      <c r="CU51" s="219" t="s">
        <v>1144</v>
      </c>
      <c r="CV51" s="219" t="s">
        <v>1144</v>
      </c>
      <c r="CW51" s="219" t="s">
        <v>1144</v>
      </c>
      <c r="CX51" s="219" t="s">
        <v>1144</v>
      </c>
      <c r="CY51" s="219" t="s">
        <v>1144</v>
      </c>
      <c r="CZ51" s="219" t="s">
        <v>1144</v>
      </c>
      <c r="DA51" s="219" t="s">
        <v>1144</v>
      </c>
      <c r="DB51" s="152" t="str">
        <f t="shared" si="32"/>
        <v xml:space="preserve">Plan Estratégico Institucional, Plan de Acción, </v>
      </c>
      <c r="DC51" s="149" t="str">
        <f t="shared" si="88"/>
        <v xml:space="preserve">Mide el No de capacitaciones en  la funcionalidad, configuración, manejo y uso general de la herramienta Bogotá te Escucha-Sistema Distrital para la Gestión de Peticiones Ciudadanas, realizadas a sus administradores y/o usuarios 
</v>
      </c>
      <c r="DD51" s="149" t="str">
        <f t="shared" si="88"/>
        <v>• Capacitar a los administradores del Sistema Distrital para la Gestión de Peticiones Ciudadanas, de las entidades distritales, en funcionalidad, configuración, uso y manejo del sistema.</v>
      </c>
      <c r="DE51" s="149" t="str">
        <f t="shared" si="88"/>
        <v xml:space="preserve">La capacitación funcional fortalece las competencias de los servidores para operar y administrar el Sistema Distrital para la gestión de peticiones ciudadanas.     </v>
      </c>
      <c r="DF51" s="149" t="str">
        <f t="shared" si="88"/>
        <v>Registros de Asistencia  (Formato 2211300-FT-211 PDF)</v>
      </c>
      <c r="DG51" s="149" t="str">
        <f t="shared" si="88"/>
        <v>Suma</v>
      </c>
      <c r="DH51" s="149">
        <f t="shared" si="101"/>
        <v>10</v>
      </c>
      <c r="DI51" s="149">
        <f t="shared" si="102"/>
        <v>0</v>
      </c>
      <c r="DJ51" s="149">
        <f t="shared" si="103"/>
        <v>1</v>
      </c>
      <c r="DK51" s="149">
        <f t="shared" si="104"/>
        <v>2</v>
      </c>
      <c r="DL51" s="149">
        <f t="shared" si="105"/>
        <v>3</v>
      </c>
      <c r="DM51" s="149">
        <f t="shared" si="106"/>
        <v>2</v>
      </c>
      <c r="DN51" s="149">
        <f t="shared" si="107"/>
        <v>2</v>
      </c>
      <c r="DO51" s="149">
        <f t="shared" si="100"/>
        <v>0</v>
      </c>
      <c r="DP51" s="149">
        <f t="shared" si="100"/>
        <v>1</v>
      </c>
      <c r="DQ51" s="149">
        <f t="shared" si="100"/>
        <v>2</v>
      </c>
      <c r="DR51" s="149">
        <f t="shared" si="100"/>
        <v>3</v>
      </c>
      <c r="DS51" s="149">
        <f t="shared" si="100"/>
        <v>2</v>
      </c>
      <c r="DT51" s="149">
        <f t="shared" si="100"/>
        <v>2</v>
      </c>
      <c r="DU51" s="149">
        <f t="shared" si="89"/>
        <v>10</v>
      </c>
      <c r="DV51" s="149">
        <f t="shared" si="89"/>
        <v>0</v>
      </c>
      <c r="DW51" s="149" t="str">
        <f t="shared" si="89"/>
        <v/>
      </c>
      <c r="DX51" s="149" t="str">
        <f t="shared" si="89"/>
        <v>N.A</v>
      </c>
      <c r="DY51" s="149" t="str">
        <f t="shared" si="89"/>
        <v>N.A</v>
      </c>
      <c r="DZ51" s="149" t="str">
        <f t="shared" si="89"/>
        <v>N.A</v>
      </c>
      <c r="EA51" s="149">
        <f t="shared" si="89"/>
        <v>1</v>
      </c>
      <c r="EB51" s="149" t="str">
        <f t="shared" si="89"/>
        <v/>
      </c>
      <c r="EC51" s="149" t="str">
        <f t="shared" si="89"/>
        <v xml:space="preserve">En el mes de febrero se realizó una  (1)  capacitación a  administradores y/o usuarios  del Sistema Distrital para la Gestión de Peticiones Ciudadanas , en la funcionalidad, configuración, manejo y uso general  del sistema. </v>
      </c>
      <c r="ED51" s="149" t="str">
        <f t="shared" si="89"/>
        <v>N.A</v>
      </c>
      <c r="EE51" s="149" t="str">
        <f t="shared" si="90"/>
        <v xml:space="preserve">Se  fortalecieron las competencias de 12 servidores para operar y administrar el Sistema Distrital para la gestión de peticiones ciudadanas.     </v>
      </c>
      <c r="EF51" s="149">
        <f t="shared" si="90"/>
        <v>2</v>
      </c>
      <c r="EG51" s="149" t="str">
        <f t="shared" si="90"/>
        <v/>
      </c>
      <c r="EH51" s="149" t="str">
        <f t="shared" si="90"/>
        <v xml:space="preserve">En el mes de marzo se realizaron dos  (2)  capacitaciones a  administradores y/o usuarios  del Sistema Distrital para la Gestión de Peticiones Ciudadanas , en la funcionalidad, configuración, manejo y uso general  del sistema. </v>
      </c>
      <c r="EI51" s="149" t="str">
        <f t="shared" si="90"/>
        <v>N.A</v>
      </c>
      <c r="EJ51" s="149" t="str">
        <f t="shared" si="90"/>
        <v xml:space="preserve">Se  fortalecieron las competencias de 37 servidores para operar y administrar el Sistema Distrital para la gestión de peticiones ciudadanas.     </v>
      </c>
      <c r="EK51" s="149">
        <f t="shared" si="90"/>
        <v>4</v>
      </c>
      <c r="EL51" s="149" t="str">
        <f t="shared" si="90"/>
        <v/>
      </c>
      <c r="EM51" s="149" t="str">
        <f t="shared" si="90"/>
        <v xml:space="preserve">En el mes de abril se realizaron cuatro  (4)  capacitaciones a  administradores y/o usuarios  del Sistema Distrital para la Gestión de Peticiones Ciudadanas , en la funcionalidad, configuración, manejo y uso general  del sistema. </v>
      </c>
      <c r="EN51" s="149" t="str">
        <f t="shared" si="90"/>
        <v>N.A</v>
      </c>
      <c r="EO51" s="149" t="str">
        <f t="shared" si="91"/>
        <v xml:space="preserve">Se  fortalecieron las competencias de 82  servidores para operar y administrar el Sistema Distrital para la gestión de peticiones ciudadanas.     </v>
      </c>
      <c r="EP51" s="149">
        <f t="shared" si="91"/>
        <v>2</v>
      </c>
      <c r="EQ51" s="149" t="str">
        <f t="shared" si="91"/>
        <v/>
      </c>
      <c r="ER51" s="149" t="str">
        <f t="shared" si="91"/>
        <v xml:space="preserve">En el mes de mayo se realizaron dos  (2)  capacitaciones a  administradores y/o usuarios  del Sistema Distrital para la Gestión de Peticiones Ciudadanas , en la funcionalidad, configuración, manejo y uso general  del sistema. </v>
      </c>
      <c r="ES51" s="149" t="str">
        <f t="shared" si="91"/>
        <v>N.A</v>
      </c>
      <c r="ET51" s="149" t="str">
        <f t="shared" si="91"/>
        <v xml:space="preserve">Se  fortalecieron las competencias de 19  servidores para operar y administrar el Sistema Distrital para la gestión de peticiones ciudadanas.     </v>
      </c>
      <c r="EU51" s="149">
        <f t="shared" ref="EU51:EY69" si="125">+VLOOKUP($A51,consolidado,MATCH(EU$5,consolidadofila,0),0)</f>
        <v>2</v>
      </c>
      <c r="EV51" s="149" t="str">
        <f t="shared" si="125"/>
        <v/>
      </c>
      <c r="EW51" s="149" t="str">
        <f t="shared" si="125"/>
        <v xml:space="preserve">En el mes de junio  se realizaron dos  (2)  capacitaciones a  administradores y/o usuarios  del Sistema Distrital para la Gestión de Peticiones Ciudadanas , en la funcionalidad, configuración, manejo y uso general  del sistema. </v>
      </c>
      <c r="EX51" s="149" t="str">
        <f t="shared" si="125"/>
        <v>N.A</v>
      </c>
      <c r="EY51" s="149" t="str">
        <f t="shared" si="125"/>
        <v xml:space="preserve">Se  fortalecieron las competencias de 25  servidores(as) para operar y administrar el Sistema Distrital para la gestión de peticiones ciudadanas.     </v>
      </c>
      <c r="EZ51" s="149">
        <f t="shared" si="91"/>
        <v>11</v>
      </c>
      <c r="FA51" s="149">
        <f t="shared" si="91"/>
        <v>0</v>
      </c>
      <c r="FB51" s="149" t="str">
        <f t="shared" si="91"/>
        <v/>
      </c>
      <c r="FC51" s="149" t="str">
        <f t="shared" si="91"/>
        <v/>
      </c>
      <c r="FD51" s="149" t="str">
        <f t="shared" si="92"/>
        <v/>
      </c>
      <c r="FE51" s="149" t="str">
        <f t="shared" si="92"/>
        <v/>
      </c>
      <c r="FF51" s="149" t="str">
        <f t="shared" si="92"/>
        <v/>
      </c>
      <c r="FG51" s="149" t="str">
        <f t="shared" si="92"/>
        <v/>
      </c>
      <c r="FH51" s="149" t="str">
        <f t="shared" si="92"/>
        <v/>
      </c>
      <c r="FI51" s="149" t="str">
        <f t="shared" si="92"/>
        <v/>
      </c>
      <c r="FJ51" s="149" t="str">
        <f t="shared" si="92"/>
        <v/>
      </c>
      <c r="FK51" s="149" t="str">
        <f t="shared" si="92"/>
        <v/>
      </c>
      <c r="FL51" s="149" t="str">
        <f t="shared" si="92"/>
        <v/>
      </c>
      <c r="FM51" s="149" t="str">
        <f t="shared" si="92"/>
        <v/>
      </c>
      <c r="FN51" s="149" t="str">
        <f t="shared" si="93"/>
        <v/>
      </c>
      <c r="FO51" s="149" t="str">
        <f t="shared" si="93"/>
        <v/>
      </c>
      <c r="FP51" s="149" t="str">
        <f t="shared" si="93"/>
        <v/>
      </c>
      <c r="FQ51" s="149" t="str">
        <f t="shared" si="93"/>
        <v/>
      </c>
      <c r="FR51" s="149" t="str">
        <f t="shared" si="93"/>
        <v/>
      </c>
      <c r="FS51" s="149" t="str">
        <f t="shared" si="93"/>
        <v/>
      </c>
      <c r="FT51" s="149" t="str">
        <f t="shared" si="93"/>
        <v/>
      </c>
      <c r="FU51" s="149" t="str">
        <f t="shared" si="93"/>
        <v/>
      </c>
      <c r="FV51" s="149" t="str">
        <f t="shared" si="93"/>
        <v/>
      </c>
      <c r="FW51" s="149" t="str">
        <f t="shared" si="93"/>
        <v/>
      </c>
      <c r="FX51" s="149" t="str">
        <f t="shared" si="94"/>
        <v/>
      </c>
      <c r="FY51" s="149" t="str">
        <f t="shared" si="94"/>
        <v/>
      </c>
      <c r="FZ51" s="149" t="str">
        <f t="shared" si="94"/>
        <v/>
      </c>
      <c r="GA51" s="149" t="str">
        <f t="shared" si="94"/>
        <v/>
      </c>
      <c r="GB51" s="149" t="str">
        <f t="shared" si="94"/>
        <v/>
      </c>
      <c r="GC51" s="149" t="str">
        <f t="shared" si="94"/>
        <v/>
      </c>
      <c r="GD51" s="149" t="str">
        <f t="shared" si="94"/>
        <v/>
      </c>
      <c r="GE51" s="149" t="str">
        <f t="shared" si="94"/>
        <v/>
      </c>
      <c r="GF51" s="149">
        <f t="shared" si="108"/>
        <v>0</v>
      </c>
      <c r="GG51" s="149">
        <f t="shared" si="109"/>
        <v>1</v>
      </c>
      <c r="GH51" s="149">
        <f t="shared" si="110"/>
        <v>2</v>
      </c>
      <c r="GI51" s="149">
        <f t="shared" si="111"/>
        <v>4</v>
      </c>
      <c r="GJ51" s="149">
        <f t="shared" si="112"/>
        <v>2</v>
      </c>
      <c r="GK51" s="149">
        <f t="shared" si="113"/>
        <v>11</v>
      </c>
      <c r="GL51" s="149">
        <f t="shared" si="114"/>
        <v>0</v>
      </c>
      <c r="GM51" s="149">
        <f t="shared" si="115"/>
        <v>10</v>
      </c>
      <c r="GN51" s="149">
        <f t="shared" si="116"/>
        <v>20</v>
      </c>
      <c r="GO51" s="149">
        <f t="shared" si="117"/>
        <v>40</v>
      </c>
      <c r="GP51" s="149">
        <f t="shared" si="118"/>
        <v>20</v>
      </c>
      <c r="GQ51" s="149">
        <f t="shared" si="118"/>
        <v>20</v>
      </c>
      <c r="GR51" s="153">
        <f t="shared" si="124"/>
        <v>110</v>
      </c>
      <c r="GS51" s="149" t="str">
        <f t="shared" si="119"/>
        <v>No Programó</v>
      </c>
      <c r="GT51" s="149">
        <f>+IF(OR($A51=52,$A51=124),1,IFERROR(IF($X51="Creciente",IF($AB51="Número",SUM($GL51:GM51)/SUM($DO51:DP51)*($AX51-$AW51),SUM($GL51:GM51)/SUM($DO51:DP51))*($AX51-$AW51),IF($DG51="Creciente",GM51*GM51/GM51,IF(AND($DG51="Constante",$AB51="Porcentaje"),AVERAGEIF($GL51:GM51,"&lt;&gt;0")/AVERAGEIF($DO51:DP51,"&lt;&gt;0")*100,SUM($GL51:GM51)/SUM($DO51:DP51)*$DU51))),GS51))</f>
        <v>100</v>
      </c>
      <c r="GU51" s="149">
        <f>+IF(OR($A51=52,$A51=124),1,IFERROR(IF($X51="Creciente",IF($AB51="Número",SUM($GL51:GN51)/SUM($DO51:DQ51)*($AX51-$AW51),SUM($GL51:GN51)/SUM($DO51:DQ51))*($AX51-$AW51),IF($DG51="Creciente",GN51*GN51/GN51,IF(AND($DG51="Constante",$AB51="Porcentaje"),AVERAGEIF($GL51:GN51,"&lt;&gt;0")/AVERAGEIF($DO51:DQ51,"&lt;&gt;0")*100,SUM($GL51:GN51)/SUM($DO51:DQ51)*$DU51))),GT51))</f>
        <v>100</v>
      </c>
      <c r="GV51" s="149">
        <f>+IF(OR($A51=52,$A51=124),1,IFERROR(IF($X51="Creciente",IF($AB51="Número",SUM($GL51:GO51)/SUM($DO51:DR51)*($AX51-$AW51),SUM($GL51:GO51)/SUM($DO51:DR51))*($AX51-$AW51),IF($DG51="Creciente",GO51*GO51/GO51,IF(AND($DG51="Constante",$AB51="Porcentaje"),AVERAGEIF($GL51:GO51,"&lt;&gt;0")/AVERAGEIF($DO51:DR51,"&lt;&gt;0")*100,SUM($GL51:GO51)/SUM($DO51:DR51)*$DU51))),GU51))</f>
        <v>116.66666666666666</v>
      </c>
      <c r="GW51" s="149">
        <f>+IF(OR($A51=52,$A51=124),1,IFERROR(IF($X51="Creciente",IF($AB51="Número",SUM($GL51:GP51)/SUM($DO51:DS51)*($AX51-$AW51),SUM($GL51:GP51)/SUM($DO51:DS51))*($AX51-$AW51),IF($DG51="Creciente",GP51*GP51/GP51,IF(AND($DG51="Constante",$AB51="Porcentaje"),AVERAGEIF($GL51:GP51,"&lt;&gt;0")/AVERAGEIF($DO51:DS51,"&lt;&gt;0")*100,SUM($GL51:GP51)/SUM($DO51:DS51)*$DU51))),GV51))</f>
        <v>112.5</v>
      </c>
      <c r="GX51" s="149">
        <f>+IF(OR($A51=52,$A51=124),1,IFERROR(IF($X51="Creciente",IF($AB51="Número",SUM($GL51:GQ51)/SUM($DO51:DT51)*($AX51-$AW51),SUM($GL51:GQ51)/SUM($DO51:DT51))*($AX51-$AW51),IF($DG51="Creciente",GQ51*GQ51/GQ51,IF(AND($DG51="Constante",$AB51="Porcentaje"),AVERAGEIF($GL51:GQ51,"&lt;&gt;0")/AVERAGEIF($DO51:DT51,"&lt;&gt;0")*100,SUM($GL51:GQ51)/SUM($DO51:DT51)*$DU51))),GW51))</f>
        <v>110</v>
      </c>
      <c r="GY51" s="149" t="str">
        <f t="shared" si="120"/>
        <v xml:space="preserve">Mide el No de capacitaciones en  la funcionalidad, configuración, manejo y uso general de la herramienta Bogotá te Escucha-Sistema Distrital para la Gestión de Peticiones Ciudadanas, realizadas a sus administradores y/o usuarios 
</v>
      </c>
      <c r="GZ51" s="149" t="str">
        <f t="shared" si="121"/>
        <v>• Capacitar a los administradores del Sistema Distrital para la Gestión de Peticiones Ciudadanas, de las entidades distritales, en funcionalidad, configuración, uso y manejo del sistema.</v>
      </c>
      <c r="HA51" s="149" t="str">
        <f t="shared" si="122"/>
        <v xml:space="preserve">La capacitación funcional fortalece las competencias de los servidores para operar y administrar el Sistema Distrital para la gestión de peticiones ciudadanas.     </v>
      </c>
      <c r="HB51" s="149" t="str">
        <f t="shared" si="123"/>
        <v>Registros de Asistencia  (Formato 2211300-FT-211 PDF)</v>
      </c>
      <c r="HC51" s="149" t="str">
        <f t="shared" si="98"/>
        <v>Cumple</v>
      </c>
      <c r="HD51" s="149" t="str">
        <f t="shared" si="98"/>
        <v>Cumplido</v>
      </c>
      <c r="HE51" s="149" t="str">
        <f t="shared" si="98"/>
        <v>Adecuado</v>
      </c>
      <c r="HF51" s="149" t="str">
        <f t="shared" si="98"/>
        <v>Coherente</v>
      </c>
      <c r="HG51" s="149" t="str">
        <f t="shared" si="98"/>
        <v>Concuerda</v>
      </c>
      <c r="HH51" s="149" t="str">
        <f t="shared" si="98"/>
        <v>Concuerda</v>
      </c>
      <c r="HI51" s="149">
        <f t="shared" si="98"/>
        <v>0</v>
      </c>
      <c r="HJ51" s="149" t="str">
        <f t="shared" si="98"/>
        <v>Adecuado</v>
      </c>
      <c r="HK51" s="149" t="str">
        <f t="shared" si="98"/>
        <v>Oportuna</v>
      </c>
      <c r="HL51" s="149" t="str">
        <f t="shared" si="98"/>
        <v>Ninguna</v>
      </c>
      <c r="HM51" s="149" t="str">
        <f t="shared" si="99"/>
        <v>Marcela Andrea García Guerrero</v>
      </c>
      <c r="HN51" s="149" t="str">
        <f t="shared" si="99"/>
        <v>Cumple</v>
      </c>
      <c r="HO51" s="149" t="str">
        <f t="shared" si="99"/>
        <v>Cumplido</v>
      </c>
      <c r="HP51" s="149" t="str">
        <f t="shared" si="99"/>
        <v>Adecuado</v>
      </c>
      <c r="HQ51" s="149" t="str">
        <f t="shared" si="99"/>
        <v>Coherente</v>
      </c>
      <c r="HR51" s="149" t="str">
        <f t="shared" si="99"/>
        <v>Concuerda</v>
      </c>
      <c r="HS51" s="149" t="str">
        <f t="shared" si="99"/>
        <v>Concuerda</v>
      </c>
      <c r="HT51" s="149">
        <f t="shared" si="99"/>
        <v>0</v>
      </c>
      <c r="HU51" s="149" t="str">
        <f t="shared" si="99"/>
        <v>Adecuado</v>
      </c>
      <c r="HV51" s="149" t="str">
        <f t="shared" si="99"/>
        <v>Oportuna</v>
      </c>
      <c r="HW51" s="149" t="str">
        <f t="shared" si="99"/>
        <v>Ninguna</v>
      </c>
      <c r="HX51" s="149" t="str">
        <f t="shared" si="99"/>
        <v>Marcela Andrea García Guerrero</v>
      </c>
    </row>
    <row r="52" spans="1:232" s="288" customFormat="1" x14ac:dyDescent="0.3">
      <c r="A52" s="287" t="s">
        <v>377</v>
      </c>
      <c r="B52" s="150" t="s">
        <v>1144</v>
      </c>
      <c r="C52" s="150" t="s">
        <v>1144</v>
      </c>
      <c r="D52" s="150" t="s">
        <v>1144</v>
      </c>
      <c r="E52" s="150" t="s">
        <v>1144</v>
      </c>
      <c r="F52" s="136" t="s">
        <v>1609</v>
      </c>
      <c r="G52" s="150" t="s">
        <v>1144</v>
      </c>
      <c r="H52" s="150" t="s">
        <v>1144</v>
      </c>
      <c r="I52" s="149" t="s">
        <v>1146</v>
      </c>
      <c r="J52" s="219" t="s">
        <v>183</v>
      </c>
      <c r="K52" s="219" t="s">
        <v>184</v>
      </c>
      <c r="L52" s="219" t="s">
        <v>185</v>
      </c>
      <c r="M52" s="219" t="s">
        <v>1147</v>
      </c>
      <c r="N52" s="219" t="s">
        <v>1148</v>
      </c>
      <c r="O52" s="219" t="s">
        <v>1149</v>
      </c>
      <c r="P52" s="148" t="s">
        <v>1609</v>
      </c>
      <c r="Q52" s="219" t="s">
        <v>1610</v>
      </c>
      <c r="R52" s="219" t="s">
        <v>1611</v>
      </c>
      <c r="S52" s="219" t="s">
        <v>1612</v>
      </c>
      <c r="T52" s="219" t="s">
        <v>1613</v>
      </c>
      <c r="U52" s="219" t="s">
        <v>1614</v>
      </c>
      <c r="V52" s="219" t="s">
        <v>1615</v>
      </c>
      <c r="W52" s="148" t="s">
        <v>601</v>
      </c>
      <c r="X52" s="219" t="s">
        <v>601</v>
      </c>
      <c r="Y52" s="219"/>
      <c r="Z52" s="219" t="s">
        <v>1616</v>
      </c>
      <c r="AA52" s="219" t="s">
        <v>1617</v>
      </c>
      <c r="AB52" s="219" t="s">
        <v>602</v>
      </c>
      <c r="AC52" s="219" t="s">
        <v>1293</v>
      </c>
      <c r="AD52" s="219" t="s">
        <v>1031</v>
      </c>
      <c r="AE52" s="219">
        <v>2018</v>
      </c>
      <c r="AF52" s="219">
        <v>0</v>
      </c>
      <c r="AG52" s="219">
        <v>0</v>
      </c>
      <c r="AH52" s="219">
        <v>0</v>
      </c>
      <c r="AI52" s="219">
        <v>0</v>
      </c>
      <c r="AJ52" s="219">
        <v>1</v>
      </c>
      <c r="AK52" s="219">
        <v>1</v>
      </c>
      <c r="AL52" s="220">
        <v>0</v>
      </c>
      <c r="AM52" s="219">
        <v>0</v>
      </c>
      <c r="AN52" s="146" t="s">
        <v>1144</v>
      </c>
      <c r="AO52" s="146" t="s">
        <v>1144</v>
      </c>
      <c r="AP52" s="146" t="s">
        <v>1144</v>
      </c>
      <c r="AQ52" s="146" t="s">
        <v>1144</v>
      </c>
      <c r="AR52" s="146" t="s">
        <v>1144</v>
      </c>
      <c r="AS52" s="150" t="s">
        <v>1144</v>
      </c>
      <c r="AT52" s="232">
        <v>0</v>
      </c>
      <c r="AU52" s="232">
        <v>0</v>
      </c>
      <c r="AV52" s="232">
        <v>100</v>
      </c>
      <c r="AW52" s="232">
        <v>100</v>
      </c>
      <c r="AX52" s="232">
        <v>100</v>
      </c>
      <c r="AY52" s="232">
        <v>0</v>
      </c>
      <c r="AZ52" s="149"/>
      <c r="BA52" s="149"/>
      <c r="BB52" s="149"/>
      <c r="BC52" s="149"/>
      <c r="BD52" s="149">
        <v>0</v>
      </c>
      <c r="BE52" s="149"/>
      <c r="BF52" s="149"/>
      <c r="BG52" s="149"/>
      <c r="BH52" s="149"/>
      <c r="BI52" s="149"/>
      <c r="BJ52" s="149">
        <v>0</v>
      </c>
      <c r="BK52" s="146" t="s">
        <v>1144</v>
      </c>
      <c r="BL52" s="146" t="s">
        <v>1144</v>
      </c>
      <c r="BM52" s="146" t="s">
        <v>1144</v>
      </c>
      <c r="BN52" s="146" t="s">
        <v>1144</v>
      </c>
      <c r="BO52" s="146" t="s">
        <v>1144</v>
      </c>
      <c r="BP52" s="146" t="s">
        <v>1144</v>
      </c>
      <c r="BQ52" s="146" t="s">
        <v>1144</v>
      </c>
      <c r="BR52" s="146" t="s">
        <v>1144</v>
      </c>
      <c r="BS52" s="150" t="s">
        <v>1144</v>
      </c>
      <c r="BT52" s="150" t="s">
        <v>1144</v>
      </c>
      <c r="BU52" s="150" t="s">
        <v>1144</v>
      </c>
      <c r="BV52" s="150" t="s">
        <v>1144</v>
      </c>
      <c r="BW52" s="219" t="s">
        <v>1144</v>
      </c>
      <c r="BX52" s="219" t="s">
        <v>1144</v>
      </c>
      <c r="BY52" s="219" t="s">
        <v>1144</v>
      </c>
      <c r="BZ52" s="219">
        <v>1</v>
      </c>
      <c r="CA52" s="219" t="s">
        <v>1144</v>
      </c>
      <c r="CB52" s="219" t="s">
        <v>1144</v>
      </c>
      <c r="CC52" s="219" t="s">
        <v>1144</v>
      </c>
      <c r="CD52" s="219">
        <v>1</v>
      </c>
      <c r="CE52" s="219" t="s">
        <v>286</v>
      </c>
      <c r="CF52" s="219">
        <v>1</v>
      </c>
      <c r="CG52" s="219" t="s">
        <v>1144</v>
      </c>
      <c r="CH52" s="219" t="s">
        <v>1144</v>
      </c>
      <c r="CI52" s="219" t="s">
        <v>1144</v>
      </c>
      <c r="CJ52" s="219" t="s">
        <v>1144</v>
      </c>
      <c r="CK52" s="219" t="s">
        <v>1144</v>
      </c>
      <c r="CL52" s="219" t="s">
        <v>1144</v>
      </c>
      <c r="CM52" s="219" t="s">
        <v>1144</v>
      </c>
      <c r="CN52" s="219" t="s">
        <v>1144</v>
      </c>
      <c r="CO52" s="219" t="s">
        <v>1144</v>
      </c>
      <c r="CP52" s="219" t="s">
        <v>1144</v>
      </c>
      <c r="CQ52" s="219" t="s">
        <v>1144</v>
      </c>
      <c r="CR52" s="219" t="s">
        <v>1144</v>
      </c>
      <c r="CS52" s="219" t="s">
        <v>1144</v>
      </c>
      <c r="CT52" s="219" t="s">
        <v>1144</v>
      </c>
      <c r="CU52" s="219" t="s">
        <v>1144</v>
      </c>
      <c r="CV52" s="219" t="s">
        <v>1144</v>
      </c>
      <c r="CW52" s="219" t="s">
        <v>1144</v>
      </c>
      <c r="CX52" s="219" t="s">
        <v>1144</v>
      </c>
      <c r="CY52" s="219" t="s">
        <v>1144</v>
      </c>
      <c r="CZ52" s="219" t="s">
        <v>1144</v>
      </c>
      <c r="DA52" s="219" t="s">
        <v>1144</v>
      </c>
      <c r="DB52" s="152" t="str">
        <f t="shared" si="32"/>
        <v xml:space="preserve">Plan de Acción, SGC, PROCESO: Gestión del Sistema Distrital de servicio a la ciudadanía, PAAC, </v>
      </c>
      <c r="DC52" s="149" t="str">
        <f t="shared" si="88"/>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
      <c r="DD52" s="149">
        <f t="shared" si="88"/>
        <v>0</v>
      </c>
      <c r="DE52" s="149" t="str">
        <f t="shared" si="88"/>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
      <c r="DF52" s="149" t="str">
        <f t="shared" si="88"/>
        <v>Comunicaciones enviadas a las dependencias de la Secretaría General que presenten alguna observación a sus respuestas evaluadas y a las entidades distritales que presenten  observaciones al 10% o más de sus respuestas evaluadas ( mes vencido)</v>
      </c>
      <c r="DG52" s="149" t="str">
        <f t="shared" si="88"/>
        <v>Constante</v>
      </c>
      <c r="DH52" s="149" t="str">
        <f t="shared" si="101"/>
        <v/>
      </c>
      <c r="DI52" s="149">
        <f t="shared" si="102"/>
        <v>100</v>
      </c>
      <c r="DJ52" s="149">
        <f t="shared" si="103"/>
        <v>100</v>
      </c>
      <c r="DK52" s="149">
        <f t="shared" si="104"/>
        <v>100</v>
      </c>
      <c r="DL52" s="149">
        <f t="shared" si="105"/>
        <v>100</v>
      </c>
      <c r="DM52" s="149">
        <f t="shared" si="106"/>
        <v>100</v>
      </c>
      <c r="DN52" s="149">
        <f t="shared" si="107"/>
        <v>100</v>
      </c>
      <c r="DO52" s="149">
        <f t="shared" si="100"/>
        <v>100</v>
      </c>
      <c r="DP52" s="149">
        <f t="shared" si="100"/>
        <v>100</v>
      </c>
      <c r="DQ52" s="149">
        <f t="shared" si="100"/>
        <v>100</v>
      </c>
      <c r="DR52" s="149">
        <f t="shared" si="100"/>
        <v>100</v>
      </c>
      <c r="DS52" s="149">
        <f t="shared" si="100"/>
        <v>100</v>
      </c>
      <c r="DT52" s="149">
        <f t="shared" si="100"/>
        <v>100</v>
      </c>
      <c r="DU52" s="149">
        <f t="shared" si="89"/>
        <v>100</v>
      </c>
      <c r="DV52" s="149">
        <f t="shared" si="89"/>
        <v>48</v>
      </c>
      <c r="DW52" s="149">
        <f t="shared" si="89"/>
        <v>48</v>
      </c>
      <c r="DX52" s="149" t="str">
        <f t="shared" si="89"/>
        <v xml:space="preserve">En el mes de enero se retroalimentó a nueve (9 )dependencias de la Secretaría General y treinta y nueve (39)  entidades distritales, con Informe de resultados de la evaluación en términos de Calidad y Calidez de sus respuestas emitidas el mes anterior (diciembre 2019). 
En el mes, en total se evaluron en términos de Calidad y Calidez,  1.225 respuestas registradas en el Sistema Distrital para la Gestión de peticiones ciudadanas,  para lo cual se  realizaron las siguientes actividades:  
-Selección de la muestra a evaluar. 
-Evaluación de 1.225  respuestas, obteniendose los siguientes resultados en cuanto a los criterios evaluados: el  96% (1.171 respuestas evaluadas en el periodo) cumplen con el criterio de Coherencia; el 93% (1.135 respuestas) cumplen con el criterio de claridad; el  96% (1.171 respuestas)  cumplen con el criterio de calidez;  el 71% (865 respuestas) cumplen con Oportunidad; concluyéndose que el 32% (391  respuestas) no cumplen todos los criterios de Calidad y Calidez  y el  23% (278 respuestas) no cumplen con el manejo del sistema.
-Remisión de comunicaciones  (9 memorandos a Dependencias de la Secretaría General y 39  oficios a  entidades distritales ) con Informe de resultados de la evaluación en términos de Calidad y Calidez (reporte mes vencido). 
La fuente de verificación: 1 archivo PDF da cuenta de las comunicaciones enviadas en el mes de enero/2020,  mediante las cuales se retroalimentó  a nueve (9 )dependencias de la Secretaría General y treinta y nueve (39)  entidades distritales. </v>
      </c>
      <c r="DY52" s="149" t="str">
        <f t="shared" si="89"/>
        <v>N.A</v>
      </c>
      <c r="DZ52" s="149" t="str">
        <f t="shared" si="89"/>
        <v>Se identificaron los aspectos a mejorar (en términos de Calidad y Calidez) en la respuesta a peticiones ciudadanas emitidas por la Secretaría General  y entidades Distritales en el mes anterior (diciembre/2019) , retroalimentando a nueve (9) dependencias de la Secretaría General y treinta y nueve  (39)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EA52" s="149">
        <f t="shared" si="89"/>
        <v>31</v>
      </c>
      <c r="EB52" s="149">
        <f t="shared" si="89"/>
        <v>31</v>
      </c>
      <c r="EC52" s="149" t="str">
        <f t="shared" si="89"/>
        <v xml:space="preserve">En el mes de febrero se retroalimentó a cinco (5 )dependencias de la Secretaría General y ventiseis (26)  entidades distritales, con Informe de resultados de la evaluación en términos de Calidad y Calidez de sus respuestas emitidas el mes anterior (enero 2020). 
En el mes, en total se evaluron en términos de Calidad y Calidez,  1.734 respuestas registradas en el Sistema Distrital para la Gestión de peticiones ciudadanas,  para lo cual se  realizaron las siguientes actividades:  
-Selección de la muestra a evaluar. 
-Evaluación de 1.734  respuestas, obteniendose los siguientes resultados en cuanto a los criterios evaluados: el  97% (1.686 respuestas evaluadas en el periodo) cumplen con el criterio de Coherencia; el 95% (1.642 respuestas) cumplen con el criterio de claridad; el  97% (1.684 respuestas)  cumplen con el criterio de calidez;  el 75% (1.306 respuestas) cumplen con Oportunidad; concluyéndose que el 27% (469  respuestas) no cumplen todos los criterios de Calidad y Calidez  y el 4% (75 respuestas) no cumplen con el manejo del sistema.
-Remisión de comunicaciones  (5 memorandos a Dependencias de la Secretaría General y 26  oficios a  entidades distritales ) con Informe de resultados de la evaluación en términos de Calidad y Calidez (reporte mes vencido). 
La fuente de verificación: 1 archivo PDF da cuenta de las comunicaciones enviadas en el mes de febrero/2020,  mediante las cuales se retroalimentó  a cinco (5 ) dependencias de la Secretaría General yventiseis (26)  entidades distritales. </v>
      </c>
      <c r="ED52" s="149" t="str">
        <f t="shared" si="89"/>
        <v>N.A</v>
      </c>
      <c r="EE52" s="149" t="str">
        <f t="shared" si="90"/>
        <v>Se identificaron los aspectos a mejorar (en términos de Calidad y Calidez) en la respuesta a peticiones ciudadanas emitidas por la Secretaría General  y entidades Distritales en el mes anterior (enero/2020) , retroalimentando a cinco (5) dependencias de la Secretaría General y ventiseis  (26)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EF52" s="149">
        <f t="shared" si="90"/>
        <v>45</v>
      </c>
      <c r="EG52" s="149">
        <f t="shared" si="90"/>
        <v>45</v>
      </c>
      <c r="EH52" s="149" t="str">
        <f t="shared" si="90"/>
        <v xml:space="preserve">En el mes de marzo se retroalimentó a nueve (9 )dependencias de la Secretaría General y treinta y seis (36)  entidades distritales, con Informe de resultados de la evaluación en términos de Calidad y Calidez de sus respuestas emitidas el mes anterior (febrero 2020). 
En el mes, en total se evaluron en términos de Calidad y Calidez,  1.635  respuestas registradas en el Sistema Distrital para la Gestión de peticiones ciudadanas,  para lo cual se  realizaron las siguientes actividades:  
-Selección de la muestra a evaluar. 
-Evaluación de 1.635   respuestas, obteniendose los siguientes resultados en cuanto a los criterios evaluados: el  96% (1.566 respuestas evaluadas en el periodo) cumplen con el criterio de Coherencia; el 93% (1.514 respuestas) cumplen con el criterio de claridad; el  95% (1.554  respuestas)  cumplen con el criterio de calidez;  el 85% (1.383 respuestas) cumplen con Oportunidad; concluyéndose que el 18% (301  respuestas) no cumplen todos los criterios de Calidad y Calidez  y el 7% (115 respuestas) no cumplen con el manejo del sistema.
-Remisión de comunicaciones  (9 memorandos a Dependencias de la Secretaría General y 36  oficios a  entidades distritales ) con Informe de resultados de la evaluación en términos de Calidad y Calidez (reporte mes vencido). 
La fuente de verificación: 1 archivo PDF da cuenta de las comunicaciones enviadas en el mes de marzo/2020,  mediante las cuales se retroalimentó  a nueve (9 ) dependencias de la Secretaría General y treinta y seis (36)  entidades distritales. </v>
      </c>
      <c r="EI52" s="149" t="str">
        <f t="shared" si="90"/>
        <v>N.A</v>
      </c>
      <c r="EJ52" s="149" t="str">
        <f t="shared" si="90"/>
        <v>Se identificaron los aspectos a mejorar (en términos de Calidad y Calidez) en la respuesta a peticiones ciudadanas emitidas por la Secretaría General  y entidades Distritales en el mes anterior (febrero) , retroalimentando a nueve (9) dependencias de la Secretaría General y treinta y seis  (36)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EK52" s="149">
        <f t="shared" si="90"/>
        <v>47</v>
      </c>
      <c r="EL52" s="149">
        <f t="shared" si="90"/>
        <v>47</v>
      </c>
      <c r="EM52" s="149" t="str">
        <f t="shared" si="90"/>
        <v xml:space="preserve">En el mes de abril se retroalimentó a siete (7 ) dependencias de la Secretaría General y cuarenta (40)  entidades distritales, con Informe de resultados de la evaluación en términos de Calidad y Calidez de sus respuestas emitidas el mes anterior (marzo2020). 
En el mes, en total se evaluron en términos de Calidad y Calidez,  2.169 respuestas registradas en el Sistema Distrital para la Gestión de peticiones ciudadanas,  para lo cual se  realizaron las siguientes actividades:  
-Selección de la muestra a evaluar. 
-Evaluación de 2.169   respuestas, obteniendose los siguientes resultados en cuanto a los criterios evaluados: el  95% (2.069  respuestas evaluadas en el periodo) cumplen con el criterio de Coherencia; el 92% (1.987 respuestas) cumplen con el criterio de claridad; el  95% (2.054  respuestas)  cumplen con el criterio de calidez;  el 75% (1.621 respuestas) cumplen con Oportunidad; concluyéndose que el 28% (614  respuestas) no cumplen todos los criterios de Calidad y Calidez  y el 5% (115 respuestas) no cumplen con el manejo del sistema.
-Remisión de comunicaciones  (7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abril/2020,  mediante las cuales se retroalimentó  a siete (7 ) dependencias de la Secretaría General y cuarenta (40)  entidades distritales. </v>
      </c>
      <c r="EN52" s="149" t="str">
        <f t="shared" si="90"/>
        <v>N.A</v>
      </c>
      <c r="EO52" s="149" t="str">
        <f t="shared" si="91"/>
        <v>Se identificaron los aspectos a mejorar (en términos de Calidad y Calidez) en la respuesta a peticiones ciudadanas emitidas por la Secretaría General  y entidades Distritales en el mes anterior (marzo) , retroalimentando a siete (7)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EP52" s="149">
        <f t="shared" si="91"/>
        <v>41</v>
      </c>
      <c r="EQ52" s="149">
        <f t="shared" si="91"/>
        <v>41</v>
      </c>
      <c r="ER52" s="149" t="str">
        <f t="shared" si="91"/>
        <v xml:space="preserve">En el mes de mayo se retroalimentó a seis (6 ) dependencias de la Secretaría General y treinta y cinco (35)  entidades distritales, con Informe de resultados de la evaluación en términos de Calidad y Calidez de sus respuestas emitidas el mes anterior (abril 2020). 
En el mes, en total se evaluron en términos de Calidad y Calidez,  1.544 respuestas registradas en el Sistema Distrital para la Gestión de peticiones ciudadanas,  para lo cual se  realizaron las siguientes actividades:  
-Selección de la muestra a evaluar. 
-Evaluación de 1.544   respuestas, obteniendose los siguientes resultados en cuanto a los criterios evaluados: el  94% (1.456  respuestas evaluadas en el periodo) cumplen con el criterio de Coherencia; el 91% (1.398 respuestas) cumplen con el criterio de claridad; el  94% (1.448  respuestas)  cumplen con el criterio de calidez;  el 77% (1.190 respuestas) cumplen con Oportunidad; concluyéndose que el 27% (412  respuestas) no cumplen todos los criterios de Calidad y Calidez  y el 7% (111 respuestas) no cumplen con el manejo del sistema.
-Remisión de comunicaciones  (6 memorandos a Dependencias de la Secretaría General y 35 oficios a  entidades distritales ) con Informe de resultados de la evaluación en términos de Calidad y Calidez (reporte mes vencido). 
La fuente de verificación:  1 archivo PDF da cuenta de las comunicaciones enviadas en el mes de mayo/2020,  mediante las cuales se retroalimentó  a seis (6 ) dependencias de la Secretaría General y treinta y cinco (35)  entidades distritales. </v>
      </c>
      <c r="ES52" s="149" t="str">
        <f t="shared" si="91"/>
        <v>N.A</v>
      </c>
      <c r="ET52" s="149" t="str">
        <f t="shared" si="91"/>
        <v>Se identificaron los aspectos a mejorar (en términos de Calidad y Calidez) en la respuesta a peticiones ciudadanas emitidas por la Secretaría General  y entidades Distritales en el mes anterior (abril , retroalimentando a seis (6) dependencias de la Secretaría General y treinta y cinco (35)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EU52" s="149">
        <f t="shared" si="125"/>
        <v>41</v>
      </c>
      <c r="EV52" s="149">
        <f t="shared" si="125"/>
        <v>41</v>
      </c>
      <c r="EW52" s="149" t="str">
        <f t="shared" si="125"/>
        <v xml:space="preserve">En el mes de junio se retroalimentó a siete (7 ) dependencias de la Secretaría General y treinta y cuatro (34)  entidades distritales, con Informe de resultados de la evaluación en términos de Calidad y Calidez de sus respuestas emitidas el mes anterior (mayo/ 2020). 
En el mes, en total se evaluaron en términos de Calidad y Calidez,  1.811 respuestas registradas en el Sistema Distrital para la Gestión de peticiones ciudadanas,  para lo cual se  realizaron las siguientes actividades:  
-Selección de la muestra a evaluar. 
-Evaluación de 1.811   respuestas, obteniendose los siguientes resultados en cuanto a los criterios evaluados: el  95% (1.726  respuestas evaluadas en el periodo) cumplen con el criterio de Coherencia; el 91% (1.650 respuestas) cumplen con el criterio de claridad; el  94% (1.707  respuestas)  cumplen con el criterio de calidez;  el 82% (1.489 respuestas) cumplen con Oportunidad; concluyéndose que el 22% (392  respuestas) no cumplen todos los criterios de Calidad y Calidez  y el 9% (165 respuestas) no cumplen con el manejo del sistema.
-Remisión de comunicaciones  (7 memorandos a Dependencias de la Secretaría General y 34 oficios a  entidades distritales ) con Informe de resultados de la evaluación en términos de Calidad y Calidez (reporte mes vencido). </v>
      </c>
      <c r="EX52" s="149" t="str">
        <f t="shared" si="125"/>
        <v>N.A</v>
      </c>
      <c r="EY52" s="149" t="str">
        <f t="shared" si="125"/>
        <v>Se identificaron los aspectos a mejorar (en términos de Calidad y Calidez) en la respuesta a peticiones ciudadanas emitidas por la Secretaría General  y entidades Distritales en el mes anterior (mayo), retroalimentando a siete (7) dependencias de la Secretaría General y treinta y cuatro (34)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
      <c r="EZ52" s="149">
        <f t="shared" si="91"/>
        <v>253</v>
      </c>
      <c r="FA52" s="149">
        <f t="shared" si="91"/>
        <v>253</v>
      </c>
      <c r="FB52" s="149">
        <f t="shared" si="91"/>
        <v>0</v>
      </c>
      <c r="FC52" s="149">
        <f t="shared" si="91"/>
        <v>0</v>
      </c>
      <c r="FD52" s="149">
        <f t="shared" si="92"/>
        <v>0</v>
      </c>
      <c r="FE52" s="149">
        <f t="shared" si="92"/>
        <v>0</v>
      </c>
      <c r="FF52" s="149">
        <f t="shared" si="92"/>
        <v>0</v>
      </c>
      <c r="FG52" s="149">
        <f t="shared" si="92"/>
        <v>0</v>
      </c>
      <c r="FH52" s="149">
        <f t="shared" si="92"/>
        <v>0</v>
      </c>
      <c r="FI52" s="149">
        <f t="shared" si="92"/>
        <v>0</v>
      </c>
      <c r="FJ52" s="149">
        <f t="shared" si="92"/>
        <v>0</v>
      </c>
      <c r="FK52" s="149">
        <f t="shared" si="92"/>
        <v>0</v>
      </c>
      <c r="FL52" s="149">
        <f t="shared" si="92"/>
        <v>0</v>
      </c>
      <c r="FM52" s="149">
        <f t="shared" si="92"/>
        <v>0</v>
      </c>
      <c r="FN52" s="149">
        <f t="shared" si="93"/>
        <v>0</v>
      </c>
      <c r="FO52" s="149">
        <f t="shared" si="93"/>
        <v>0</v>
      </c>
      <c r="FP52" s="149">
        <f t="shared" si="93"/>
        <v>0</v>
      </c>
      <c r="FQ52" s="149">
        <f t="shared" si="93"/>
        <v>0</v>
      </c>
      <c r="FR52" s="149">
        <f t="shared" si="93"/>
        <v>0</v>
      </c>
      <c r="FS52" s="149">
        <f t="shared" si="93"/>
        <v>0</v>
      </c>
      <c r="FT52" s="149">
        <f t="shared" si="93"/>
        <v>0</v>
      </c>
      <c r="FU52" s="149">
        <f t="shared" si="93"/>
        <v>0</v>
      </c>
      <c r="FV52" s="149">
        <f t="shared" si="93"/>
        <v>0</v>
      </c>
      <c r="FW52" s="149">
        <f t="shared" si="93"/>
        <v>0</v>
      </c>
      <c r="FX52" s="149">
        <f t="shared" si="94"/>
        <v>0</v>
      </c>
      <c r="FY52" s="149">
        <f t="shared" si="94"/>
        <v>0</v>
      </c>
      <c r="FZ52" s="149">
        <f t="shared" si="94"/>
        <v>0</v>
      </c>
      <c r="GA52" s="149">
        <f t="shared" si="94"/>
        <v>0</v>
      </c>
      <c r="GB52" s="149">
        <f t="shared" si="94"/>
        <v>0</v>
      </c>
      <c r="GC52" s="149">
        <f t="shared" si="94"/>
        <v>0</v>
      </c>
      <c r="GD52" s="149">
        <f t="shared" si="94"/>
        <v>0</v>
      </c>
      <c r="GE52" s="149">
        <f t="shared" si="94"/>
        <v>0</v>
      </c>
      <c r="GF52" s="149">
        <f t="shared" si="108"/>
        <v>1</v>
      </c>
      <c r="GG52" s="149">
        <f t="shared" si="109"/>
        <v>1</v>
      </c>
      <c r="GH52" s="149">
        <f t="shared" si="110"/>
        <v>1</v>
      </c>
      <c r="GI52" s="149">
        <f t="shared" si="111"/>
        <v>1</v>
      </c>
      <c r="GJ52" s="149">
        <f t="shared" si="112"/>
        <v>1</v>
      </c>
      <c r="GK52" s="149">
        <f t="shared" si="113"/>
        <v>1</v>
      </c>
      <c r="GL52" s="149">
        <f t="shared" si="114"/>
        <v>100</v>
      </c>
      <c r="GM52" s="149">
        <f t="shared" si="115"/>
        <v>100</v>
      </c>
      <c r="GN52" s="149">
        <f t="shared" si="116"/>
        <v>100</v>
      </c>
      <c r="GO52" s="149">
        <f t="shared" si="117"/>
        <v>100</v>
      </c>
      <c r="GP52" s="149">
        <f t="shared" si="118"/>
        <v>100</v>
      </c>
      <c r="GQ52" s="149">
        <f t="shared" si="118"/>
        <v>100</v>
      </c>
      <c r="GR52" s="153">
        <f t="shared" si="124"/>
        <v>100</v>
      </c>
      <c r="GS52" s="149">
        <f t="shared" si="119"/>
        <v>100</v>
      </c>
      <c r="GT52" s="149">
        <f>+IF(OR($A52=52,$A52=124),1,IFERROR(IF($X52="Creciente",IF($AB52="Número",SUM($GL52:GM52)/SUM($DO52:DP52)*($AX52-$AW52),SUM($GL52:GM52)/SUM($DO52:DP52))*($AX52-$AW52),IF($DG52="Creciente",GM52*GM52/GM52,IF(AND($DG52="Constante",$AB52="Porcentaje"),AVERAGEIF($GL52:GM52,"&lt;&gt;0")/AVERAGEIF($DO52:DP52,"&lt;&gt;0")*100,SUM($GL52:GM52)/SUM($DO52:DP52)*$DU52))),GS52))</f>
        <v>100</v>
      </c>
      <c r="GU52" s="149">
        <f>+IF(OR($A52=52,$A52=124),1,IFERROR(IF($X52="Creciente",IF($AB52="Número",SUM($GL52:GN52)/SUM($DO52:DQ52)*($AX52-$AW52),SUM($GL52:GN52)/SUM($DO52:DQ52))*($AX52-$AW52),IF($DG52="Creciente",GN52*GN52/GN52,IF(AND($DG52="Constante",$AB52="Porcentaje"),AVERAGEIF($GL52:GN52,"&lt;&gt;0")/AVERAGEIF($DO52:DQ52,"&lt;&gt;0")*100,SUM($GL52:GN52)/SUM($DO52:DQ52)*$DU52))),GT52))</f>
        <v>100</v>
      </c>
      <c r="GV52" s="149">
        <f>+IF(OR($A52=52,$A52=124),1,IFERROR(IF($X52="Creciente",IF($AB52="Número",SUM($GL52:GO52)/SUM($DO52:DR52)*($AX52-$AW52),SUM($GL52:GO52)/SUM($DO52:DR52))*($AX52-$AW52),IF($DG52="Creciente",GO52*GO52/GO52,IF(AND($DG52="Constante",$AB52="Porcentaje"),AVERAGEIF($GL52:GO52,"&lt;&gt;0")/AVERAGEIF($DO52:DR52,"&lt;&gt;0")*100,SUM($GL52:GO52)/SUM($DO52:DR52)*$DU52))),GU52))</f>
        <v>100</v>
      </c>
      <c r="GW52" s="149">
        <f>+IF(OR($A52=52,$A52=124),1,IFERROR(IF($X52="Creciente",IF($AB52="Número",SUM($GL52:GP52)/SUM($DO52:DS52)*($AX52-$AW52),SUM($GL52:GP52)/SUM($DO52:DS52))*($AX52-$AW52),IF($DG52="Creciente",GP52*GP52/GP52,IF(AND($DG52="Constante",$AB52="Porcentaje"),AVERAGEIF($GL52:GP52,"&lt;&gt;0")/AVERAGEIF($DO52:DS52,"&lt;&gt;0")*100,SUM($GL52:GP52)/SUM($DO52:DS52)*$DU52))),GV52))</f>
        <v>100</v>
      </c>
      <c r="GX52" s="149">
        <f>+IF(OR($A52=52,$A52=124),1,IFERROR(IF($X52="Creciente",IF($AB52="Número",SUM($GL52:GQ52)/SUM($DO52:DT52)*($AX52-$AW52),SUM($GL52:GQ52)/SUM($DO52:DT52))*($AX52-$AW52),IF($DG52="Creciente",GQ52*GQ52/GQ52,IF(AND($DG52="Constante",$AB52="Porcentaje"),AVERAGEIF($GL52:GQ52,"&lt;&gt;0")/AVERAGEIF($DO52:DT52,"&lt;&gt;0")*100,SUM($GL52:GQ52)/SUM($DO52:DT52)*$DU52))),GW52))</f>
        <v>100</v>
      </c>
      <c r="GY52" s="149" t="str">
        <f t="shared" si="120"/>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
      <c r="GZ52" s="149">
        <f t="shared" si="121"/>
        <v>0</v>
      </c>
      <c r="HA52" s="149" t="str">
        <f t="shared" si="122"/>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
      <c r="HB52" s="149" t="str">
        <f t="shared" si="123"/>
        <v>Comunicaciones enviadas a las dependencias de la Secretaría General que presenten alguna observación a sus respuestas evaluadas y a las entidades distritales que presenten  observaciones al 10% o más de sus respuestas evaluadas ( mes vencido)</v>
      </c>
      <c r="HC52" s="149" t="str">
        <f t="shared" si="98"/>
        <v>Cumple</v>
      </c>
      <c r="HD52" s="149" t="str">
        <f t="shared" si="98"/>
        <v>Cumplido</v>
      </c>
      <c r="HE52" s="149" t="str">
        <f t="shared" si="98"/>
        <v>Adecuado</v>
      </c>
      <c r="HF52" s="149" t="str">
        <f t="shared" si="98"/>
        <v>Coherente</v>
      </c>
      <c r="HG52" s="149" t="str">
        <f t="shared" si="98"/>
        <v>Concuerda</v>
      </c>
      <c r="HH52" s="149" t="str">
        <f t="shared" si="98"/>
        <v>Concuerda</v>
      </c>
      <c r="HI52" s="149">
        <f t="shared" si="98"/>
        <v>0</v>
      </c>
      <c r="HJ52" s="149" t="str">
        <f t="shared" si="98"/>
        <v>Adecuado</v>
      </c>
      <c r="HK52" s="149" t="str">
        <f t="shared" si="98"/>
        <v>Oportuna</v>
      </c>
      <c r="HL52" s="149" t="str">
        <f t="shared" si="98"/>
        <v>Ninguna</v>
      </c>
      <c r="HM52" s="149" t="str">
        <f t="shared" si="99"/>
        <v>Marcela Andrea García Guerrero</v>
      </c>
      <c r="HN52" s="149" t="str">
        <f t="shared" si="99"/>
        <v>Cumple</v>
      </c>
      <c r="HO52" s="149" t="str">
        <f t="shared" si="99"/>
        <v>Cumplido</v>
      </c>
      <c r="HP52" s="149" t="str">
        <f t="shared" si="99"/>
        <v>Adecuado</v>
      </c>
      <c r="HQ52" s="149" t="str">
        <f t="shared" si="99"/>
        <v>Coherente</v>
      </c>
      <c r="HR52" s="149" t="str">
        <f t="shared" si="99"/>
        <v>Concuerda</v>
      </c>
      <c r="HS52" s="149" t="str">
        <f t="shared" si="99"/>
        <v>Concuerda</v>
      </c>
      <c r="HT52" s="149">
        <f t="shared" si="99"/>
        <v>0</v>
      </c>
      <c r="HU52" s="149" t="str">
        <f t="shared" si="99"/>
        <v>Adecuado</v>
      </c>
      <c r="HV52" s="149" t="str">
        <f t="shared" si="99"/>
        <v>Oportuna</v>
      </c>
      <c r="HW52" s="149" t="str">
        <f t="shared" si="99"/>
        <v>Ninguna</v>
      </c>
      <c r="HX52" s="149" t="str">
        <f t="shared" si="99"/>
        <v>Marcela Andrea García Guerrero</v>
      </c>
    </row>
    <row r="53" spans="1:232" s="288" customFormat="1" x14ac:dyDescent="0.3">
      <c r="A53" s="287" t="s">
        <v>378</v>
      </c>
      <c r="B53" s="150" t="s">
        <v>1144</v>
      </c>
      <c r="C53" s="150" t="s">
        <v>1144</v>
      </c>
      <c r="D53" s="150" t="s">
        <v>1144</v>
      </c>
      <c r="E53" s="150" t="s">
        <v>1144</v>
      </c>
      <c r="F53" s="136" t="s">
        <v>1618</v>
      </c>
      <c r="G53" s="150" t="s">
        <v>1144</v>
      </c>
      <c r="H53" s="150" t="s">
        <v>1144</v>
      </c>
      <c r="I53" s="149" t="s">
        <v>1146</v>
      </c>
      <c r="J53" s="219" t="s">
        <v>183</v>
      </c>
      <c r="K53" s="219" t="s">
        <v>184</v>
      </c>
      <c r="L53" s="219" t="s">
        <v>185</v>
      </c>
      <c r="M53" s="219" t="s">
        <v>1147</v>
      </c>
      <c r="N53" s="219" t="s">
        <v>1148</v>
      </c>
      <c r="O53" s="219" t="s">
        <v>1149</v>
      </c>
      <c r="P53" s="148" t="s">
        <v>1618</v>
      </c>
      <c r="Q53" s="219" t="s">
        <v>1619</v>
      </c>
      <c r="R53" s="219" t="s">
        <v>1618</v>
      </c>
      <c r="S53" s="219" t="s">
        <v>1620</v>
      </c>
      <c r="T53" s="219" t="s">
        <v>1621</v>
      </c>
      <c r="U53" s="219" t="s">
        <v>1622</v>
      </c>
      <c r="V53" s="219" t="s">
        <v>1623</v>
      </c>
      <c r="W53" s="148" t="s">
        <v>601</v>
      </c>
      <c r="X53" s="219" t="s">
        <v>601</v>
      </c>
      <c r="Y53" s="219"/>
      <c r="Z53" s="219" t="s">
        <v>1624</v>
      </c>
      <c r="AA53" s="219" t="s">
        <v>1625</v>
      </c>
      <c r="AB53" s="219" t="s">
        <v>602</v>
      </c>
      <c r="AC53" s="219" t="s">
        <v>1293</v>
      </c>
      <c r="AD53" s="219" t="s">
        <v>1031</v>
      </c>
      <c r="AE53" s="219">
        <v>2018</v>
      </c>
      <c r="AF53" s="219">
        <v>0</v>
      </c>
      <c r="AG53" s="219">
        <v>0</v>
      </c>
      <c r="AH53" s="219">
        <v>0</v>
      </c>
      <c r="AI53" s="219">
        <v>0</v>
      </c>
      <c r="AJ53" s="219">
        <v>1</v>
      </c>
      <c r="AK53" s="219">
        <v>1</v>
      </c>
      <c r="AL53" s="220">
        <v>0</v>
      </c>
      <c r="AM53" s="219">
        <v>0</v>
      </c>
      <c r="AN53" s="146" t="s">
        <v>1144</v>
      </c>
      <c r="AO53" s="146" t="s">
        <v>1144</v>
      </c>
      <c r="AP53" s="146" t="s">
        <v>1144</v>
      </c>
      <c r="AQ53" s="146" t="s">
        <v>1144</v>
      </c>
      <c r="AR53" s="146" t="s">
        <v>1144</v>
      </c>
      <c r="AS53" s="150" t="s">
        <v>1144</v>
      </c>
      <c r="AT53" s="232">
        <v>0</v>
      </c>
      <c r="AU53" s="232">
        <v>0</v>
      </c>
      <c r="AV53" s="232">
        <v>100</v>
      </c>
      <c r="AW53" s="232">
        <v>100</v>
      </c>
      <c r="AX53" s="232">
        <v>100</v>
      </c>
      <c r="AY53" s="232">
        <v>0</v>
      </c>
      <c r="AZ53" s="149"/>
      <c r="BA53" s="149"/>
      <c r="BB53" s="149"/>
      <c r="BC53" s="149"/>
      <c r="BD53" s="149">
        <v>0</v>
      </c>
      <c r="BE53" s="149"/>
      <c r="BF53" s="149"/>
      <c r="BG53" s="149"/>
      <c r="BH53" s="149"/>
      <c r="BI53" s="149"/>
      <c r="BJ53" s="149">
        <v>0</v>
      </c>
      <c r="BK53" s="146" t="s">
        <v>1144</v>
      </c>
      <c r="BL53" s="146" t="s">
        <v>1144</v>
      </c>
      <c r="BM53" s="146" t="s">
        <v>1144</v>
      </c>
      <c r="BN53" s="146" t="s">
        <v>1144</v>
      </c>
      <c r="BO53" s="146" t="s">
        <v>1144</v>
      </c>
      <c r="BP53" s="146" t="s">
        <v>1144</v>
      </c>
      <c r="BQ53" s="146" t="s">
        <v>1144</v>
      </c>
      <c r="BR53" s="146" t="s">
        <v>1144</v>
      </c>
      <c r="BS53" s="150" t="s">
        <v>1144</v>
      </c>
      <c r="BT53" s="150" t="s">
        <v>1144</v>
      </c>
      <c r="BU53" s="150" t="s">
        <v>1144</v>
      </c>
      <c r="BV53" s="150" t="s">
        <v>1144</v>
      </c>
      <c r="BW53" s="219" t="s">
        <v>1144</v>
      </c>
      <c r="BX53" s="219" t="s">
        <v>1144</v>
      </c>
      <c r="BY53" s="219" t="s">
        <v>1144</v>
      </c>
      <c r="BZ53" s="219">
        <v>1</v>
      </c>
      <c r="CA53" s="219" t="s">
        <v>1144</v>
      </c>
      <c r="CB53" s="219" t="s">
        <v>1144</v>
      </c>
      <c r="CC53" s="219" t="s">
        <v>1144</v>
      </c>
      <c r="CD53" s="219">
        <v>1</v>
      </c>
      <c r="CE53" s="219" t="s">
        <v>286</v>
      </c>
      <c r="CF53" s="219">
        <v>1</v>
      </c>
      <c r="CG53" s="219" t="s">
        <v>1144</v>
      </c>
      <c r="CH53" s="219" t="s">
        <v>1144</v>
      </c>
      <c r="CI53" s="219" t="s">
        <v>1144</v>
      </c>
      <c r="CJ53" s="219" t="s">
        <v>1144</v>
      </c>
      <c r="CK53" s="219" t="s">
        <v>1144</v>
      </c>
      <c r="CL53" s="219" t="s">
        <v>1144</v>
      </c>
      <c r="CM53" s="219" t="s">
        <v>1144</v>
      </c>
      <c r="CN53" s="219" t="s">
        <v>1144</v>
      </c>
      <c r="CO53" s="219" t="s">
        <v>1144</v>
      </c>
      <c r="CP53" s="219" t="s">
        <v>1144</v>
      </c>
      <c r="CQ53" s="219" t="s">
        <v>1144</v>
      </c>
      <c r="CR53" s="219" t="s">
        <v>1144</v>
      </c>
      <c r="CS53" s="219" t="s">
        <v>1144</v>
      </c>
      <c r="CT53" s="219" t="s">
        <v>1144</v>
      </c>
      <c r="CU53" s="219" t="s">
        <v>1144</v>
      </c>
      <c r="CV53" s="219" t="s">
        <v>1144</v>
      </c>
      <c r="CW53" s="219" t="s">
        <v>1144</v>
      </c>
      <c r="CX53" s="219" t="s">
        <v>1144</v>
      </c>
      <c r="CY53" s="219" t="s">
        <v>1144</v>
      </c>
      <c r="CZ53" s="219" t="s">
        <v>1144</v>
      </c>
      <c r="DA53" s="219" t="s">
        <v>1144</v>
      </c>
      <c r="DB53" s="152" t="str">
        <f t="shared" si="32"/>
        <v xml:space="preserve">Plan de Acción, SGC, PROCESO: Gestión del Sistema Distrital de servicio a la ciudadanía, PAAC, </v>
      </c>
      <c r="DC53" s="149" t="str">
        <f t="shared" si="88"/>
        <v>Realizar seguimiento a los requerimientos vencidos según los términos de ley en la Secretaría General y en las entidades distritales, registrados en el Sistema Distrital de Quejas y Soluciones.</v>
      </c>
      <c r="DD53" s="149">
        <f t="shared" si="88"/>
        <v>0</v>
      </c>
      <c r="DE53" s="149" t="str">
        <f t="shared" si="88"/>
        <v>Realizar seguimiento a los requerimientos vencidos en términos de Ley,  promoviendo a nivel Distrital la adecuada atención  de peticiones ciudadanas dentro de los tiempos establecidos por la ley.</v>
      </c>
      <c r="DF53" s="149" t="str">
        <f t="shared" si="88"/>
        <v xml:space="preserve">Comunicaciones enviadas para realizar seguimiento a peticiones vencidas (reporte mes vencido)     </v>
      </c>
      <c r="DG53" s="149" t="str">
        <f t="shared" si="88"/>
        <v>Constante</v>
      </c>
      <c r="DH53" s="149" t="str">
        <f t="shared" si="101"/>
        <v/>
      </c>
      <c r="DI53" s="149">
        <f t="shared" si="102"/>
        <v>100</v>
      </c>
      <c r="DJ53" s="149">
        <f t="shared" si="103"/>
        <v>100</v>
      </c>
      <c r="DK53" s="149">
        <f t="shared" si="104"/>
        <v>100</v>
      </c>
      <c r="DL53" s="149">
        <f t="shared" si="105"/>
        <v>100</v>
      </c>
      <c r="DM53" s="149">
        <f t="shared" si="106"/>
        <v>100</v>
      </c>
      <c r="DN53" s="149">
        <f t="shared" si="107"/>
        <v>100</v>
      </c>
      <c r="DO53" s="149">
        <f t="shared" si="100"/>
        <v>100</v>
      </c>
      <c r="DP53" s="149">
        <f t="shared" si="100"/>
        <v>100</v>
      </c>
      <c r="DQ53" s="149">
        <f t="shared" si="100"/>
        <v>100</v>
      </c>
      <c r="DR53" s="149">
        <f t="shared" si="100"/>
        <v>100</v>
      </c>
      <c r="DS53" s="149">
        <f t="shared" si="100"/>
        <v>100</v>
      </c>
      <c r="DT53" s="149">
        <f t="shared" si="100"/>
        <v>100</v>
      </c>
      <c r="DU53" s="149">
        <f t="shared" si="89"/>
        <v>100</v>
      </c>
      <c r="DV53" s="149">
        <f t="shared" si="89"/>
        <v>29</v>
      </c>
      <c r="DW53" s="149">
        <f t="shared" si="89"/>
        <v>29</v>
      </c>
      <c r="DX53" s="149" t="str">
        <f t="shared" si="89"/>
        <v>En el mes de enero se realizó seguimiento a las peticiones  registradas en el  Sistema Distrital para la Gestión de Peticiones Ciudadanas  en el mes anterior  (diciembre/2019) pendientes de cierre  (Circular 014/2020)  según términos de ley,   en la Secretaría General y entidades distritales, encontrándose que en este mes,  en el Distrito Capital  en el Distrito Capital  22.542  peticiones se encontraban pendientes  de cierre, siendo las 10 entidades con el mayor número de peticiones, las siguientes: 
Secretaría Distrital de Gobierno  (20.387  peticiones; 90,44% del total pendiente de cierre en el Distrito Capital); UAE de Servicios Públicos -UAESP (663 peticiones; 2,94%);  Empresa de Acueducto, Alcantarillado y Aseo de Bogotá (187 peticiones; 0,83%);  Secretaría Distrital de Ambiente (158 peticiones; 0,70%); Secretaría Distrital del Hábitat (139  peticiones; 0,62%);   DADEP ( 137 peticiones; 0,61%) Secretaría Distrital de Salud (136 peticiones; 0,60%); CODENSA ( 116 peticiones; 0,51%) ; UAE Mantenimiento Vial (115 peticiones; 0,51%);    Secretaría Distrital de Movilidad ( 106 peticiones ; 0,47%);  Así mismo, otras entidades presentaron 398   peticiones que representan el 1,77% del total.
En total se identificaron venticinco (25) entidades Distritales y cuatro (4) dependencias de la Secretaría General con peticiones pendientes de cierre  a las cuales se les envió comunicación.
La fuente de verificación 1 archivo PDF  "Comunicaciones enviadas en enero" da cuenta de las comunicaciones enviadas en el mes de enero/2020 a las  dependencias de la Secretaría General y entidades Distritales que presentaron peticiones pendientes de cierre  en el mes anterior  (es decir  diciembre/2019).</v>
      </c>
      <c r="DY53" s="149" t="str">
        <f t="shared" si="89"/>
        <v>N.A</v>
      </c>
      <c r="DZ53" s="149" t="str">
        <f t="shared" si="89"/>
        <v xml:space="preserve">Se promovió a nivel Distrital la adecuada atención  de peticiones ciudadanas dentro de los tiempos establecidos por la ley, dejando evidencia de aquellas peticiones pendientes de respuesta, que deben ser atendidas de manera urgente por la entidad  </v>
      </c>
      <c r="EA53" s="149">
        <f t="shared" si="89"/>
        <v>40</v>
      </c>
      <c r="EB53" s="149">
        <f t="shared" si="89"/>
        <v>40</v>
      </c>
      <c r="EC53" s="149" t="str">
        <f t="shared" si="89"/>
        <v>En el mes de febrero se realizó seguimiento a las peticiones  registradas en el  Sistema Distrital para la Gestión de Peticiones Ciudadanas  en el mes anterior  (enero/2020) pendientes de cierre  (Circular 014/2020)  según términos de ley,   en la Secretaría General y entidades distritales, encontrándose que en este mes  en el Distrito Capital  en el Distrito Capital  25.749 peticiones se encontraban pendientes  de cierre, siendo las 10 entidades con el mayor número de peticiones, las siguientes: 
Secretaría Distrital de Gobierno  (21.742  peticiones; 84,44% del total pendiente de cierre en el Distrito Capital); UAE de Servicios Públicos -UAESP (871 peticiones; 3,38%);  Secretaría Distrital del Hábitat (516 peticiones; 2,0%); Secretaría Distrital de Ambiente (376 peticiones; 1,46%); Empresa de Acueducto, Alcantarillado y Aseo de Bogotá (242 peticiones; 0,94%); Secretaría Distrital de Movilidad (190 peticiones; 0,74%); Secretaría de Educación ( 185 peticiones ; 0,72%);  SubRed Sur Occidente   (182 peticiones; 0,72%), Secretaría Distrital de Salud (174 peticiones; 0,68%) y UAE Mantenimiento Vial (153 peticiones; 0,59%).   
En total se identificaron treinta y siete (37) entidades Distritales y tres (3) dependencias de la Secretaría General con peticiones pendientes de cierre  a las cuales se les envió comunicación.
La fuente de verificación: 1 archivo PDF  "Comunicaciones enviadas en febrero" da cuenta de las comunicaciones enviadas en el mes de febrero/2020 a las  dependencias de la Secretaría General y entidades Distritales que presentaron peticiones pendientes de cierre  en el mes anterior  (es decir  enero/2020).</v>
      </c>
      <c r="ED53" s="149" t="str">
        <f t="shared" si="89"/>
        <v>N.A</v>
      </c>
      <c r="EE53" s="149" t="str">
        <f t="shared" si="90"/>
        <v xml:space="preserve">Se promovió a nivel Distrital la adecuada atención  de peticiones ciudadanas dentro de los tiempos establecidos por la ley, dejando evidencia de aquellas peticiones pendientes de respuesta, que deben ser atendidas de manera urgente por la entidad  </v>
      </c>
      <c r="EF53" s="149">
        <f t="shared" si="90"/>
        <v>33</v>
      </c>
      <c r="EG53" s="149">
        <f t="shared" si="90"/>
        <v>33</v>
      </c>
      <c r="EH53" s="149" t="str">
        <f t="shared" si="90"/>
        <v>En el mes de marzo se realizó seguimiento a las peticiones  registradas en el  Sistema Distrital para la Gestión de Peticiones Ciudadanas  en el mes anterior  (febrero/2020) pendientes de cierre  (Circular 014/2020)  según términos de ley,   en la Secretaría General y entidades distritales, encontrándose que en este mes  en el Distrito Capital  27.449 peticiones se encontraban pendientes  de cierre, siendo las 10 entidades con el mayor número de peticiones, las siguientes: 
Secretaría Distrital de Gobierno  (22.862  peticiones; 83,29% del total pendiente de cierre en el Distrito Capital); UAE de Servicios Públicos -UAESP (1475  peticiones; 5,37%) ;Secretaría Distrital de Hábitat (648 peticiones; 2,36%);   Secretaría de Educación (384 peticiones ; 1,40%);   Secretaría Distrital de Ambiente (325 peticiones; 1,18%); Secretaría General  (276 peticiones; 1,01%); Empresa de Acueducto, Alcantarillado y Aseo de Bogotá (210 peticiones; 0,77%); IDIPYBA (148 peticiones; 0,54%); Transmilenio (144 peticiones; 0,52%);   UAE Mantenimiento Vial (119 peticiones; 0,43%).     Así mismo, otras entidades presentaron 858  peticiones que representan el 3,13% del total.
En total se identificaron ventinueve (29) entidades Distritales y cuatro (4) dependencias de la Secretara General con peticiones pendientes de cierre  a las cuales se les envió comunicación.
La fuente de verificación: 1 archivo PDF  "Comunicaciones enviadas en marzo" da cuenta de las comunicaciones enviadas en el mes de marzo/2020 a las  dependencias de la Secretaría General y entidades Distritales que presentaron peticiones pendientes de cierre  en el mes anterior  (es decir  febrero/2020).</v>
      </c>
      <c r="EI53" s="149" t="str">
        <f t="shared" si="90"/>
        <v>N.A</v>
      </c>
      <c r="EJ53" s="149" t="str">
        <f t="shared" si="90"/>
        <v xml:space="preserve">Se promovió a nivel Distrital la adecuada atención  de peticiones ciudadanas dentro de los tiempos establecidos por la ley, dejando evidencia de aquellas peticiones pendientes de respuesta, que deben ser atendidas de manera urgente por la entidad  </v>
      </c>
      <c r="EK53" s="149">
        <f t="shared" si="90"/>
        <v>24</v>
      </c>
      <c r="EL53" s="149">
        <f t="shared" si="90"/>
        <v>24</v>
      </c>
      <c r="EM53" s="149" t="str">
        <f t="shared" si="90"/>
        <v>En el mes de abril se realizó seguimiento a las peticiones  registradas en el  Sistema Distrital para la Gestión de Peticiones Ciudadanas  en el mes anterior  (marzo/2020) pendientes de cierre  (Circular 014/2020)  según términos de ley,   en la Secretaría General y entidades distritales, encontrándose que en este mes  en el Distrito Capital  22.668 peticiones se encontraban pendientes  de cierre, siendo las 10 entidades con el mayor número de peticiones, las siguientes: 
Secretaría Distrital de Gobierno  (19.468  peticiones; 85,88% del total pendiente de cierre en el Distrito Capital); UAE de Servicios Públicos -UAESP (1.222 peticiones; 5,39%);  Secretaría Distrital del Hábitat (548 peticiones; 2,42%); Secretaría Distrital de Ambiente (316 peticiones; 1,39%); Secretaría de Educación ( 308  peticiones ; 1,36%); Empresa de Acueducto, Alcantarillado y Aseo de Bogotá (162 peticiones; 0,71%); Secretaría General  (140 peticiones; 0,62%); Secretaría Distrital de Hacienda     (91 peticiones; 0,40%), CODENSA (86 peticiones; 0,38%) IDIPYBA (84 peticiones; 0,37%).     Así mismo, otras entidades presentaron 243 peticiones que representan el 1,07% del total.
En total se identificaron ventiun (21) entidades Distritales y tres (3) dependencias de la Secretara General con peticiones pendientes de cierre  a las cuales se les envió comunicación.
La fuente de verificación: 1 archivo PDF  "Comunicaciones enviadas en abril" da cuenta de las comunicaciones enviadas en el mes de abril/2020 a las  dependencias de la Secretaría General y entidades Distritales que presentaron peticiones pendientes de cierre  en el mes anterior  (es decir  marzo/2020).</v>
      </c>
      <c r="EN53" s="149" t="str">
        <f t="shared" si="90"/>
        <v>N.A</v>
      </c>
      <c r="EO53" s="149" t="str">
        <f t="shared" si="91"/>
        <v xml:space="preserve">Se promovió a nivel Distrital la adecuada atención  de peticiones ciudadanas dentro de los tiempos establecidos por la ley, dejando evidencia de aquellas peticiones pendientes de respuesta, que deben ser atendidas de manera urgente por la entidad  </v>
      </c>
      <c r="EP53" s="149">
        <f t="shared" si="91"/>
        <v>28</v>
      </c>
      <c r="EQ53" s="149">
        <f t="shared" si="91"/>
        <v>28</v>
      </c>
      <c r="ER53" s="149" t="str">
        <f t="shared" si="91"/>
        <v>En el mes de mayo se realizó seguimiento a las peticiones  registradas en el  Sistema Distrital para la Gestión de Peticiones Ciudadanas   pendientes de cierre a final de mes (abril/2020) según términos de ley,   en la Secretaría General y entidades distritales; encontrándose que en el Distrito Capital  22.477 peticiones se encontraban pendientes  de cierre (para validación por parte de las entidades) siendo las 10 entidades con el mayor número de peticiones pendientes de  cierre y que requieren validación, las siguientes: 
Secretaría Distrital de Gobierno  (18.618  peticiones; 82,83% del total pendiente de cierre en el Distrito Capital); UAE de Servicios Públicos -UAESP (1.353 peticiones; 6,02%);  Secretaría Distrital del Hábitat (660 peticiones; 2,94%); Secretaría Distrital de Ambiente (359 peticiones; 1,60%); Secretaría de Educación del Distrito (346  peticiones ; 1,54%); Empresa de Acueducto, Alcantarillado y Aseo de Bogotá (275 peticiones; 1,22%); Secretaría General  (180 peticiones; 0,80%); Secretaría Distrital de Hacienda     (117 peticiones; 0,52%), CODENSA (80 peticiones; 0,36%) IDIPYBA (72 peticiones; 0,32%).     Así mismo, otras entidades presentaron 345 peticiones que representan el 1,53% del total peticiones pendientes de  cierre en el Distrito Capital y que requieren validación.
En total se identificaron venticinco (25) entidades Distritales y tres (3) dependencias de la Secretara General con peticiones pendientes de cierre y que requieren validación, a las cuales se les envió comunicación.
La fuente de verificación: 1 archivo PDF  "Comunicaciones Ptes cierre enviadas en mayo", que  da cuenta de las comunicaciones enviadas en mayo, a las  dependencias de la Secretaría General y entidades Distritales que presentaron peticiones pendientes de cierre  en el mes anterior  (es decir  abril/2020).</v>
      </c>
      <c r="ES53" s="149" t="str">
        <f t="shared" si="91"/>
        <v>N.A</v>
      </c>
      <c r="ET53" s="149" t="str">
        <f t="shared" si="91"/>
        <v xml:space="preserve">Se promovió a nivel Distrital la adecuada atención  de peticiones ciudadanas dentro de los tiempos establecidos por la ley, dejando evidencia de aquellas peticiones pendientes de respuesta, que deben ser atendidas de manera urgente por la entidad  </v>
      </c>
      <c r="EU53" s="149">
        <f t="shared" si="125"/>
        <v>34</v>
      </c>
      <c r="EV53" s="149">
        <f t="shared" si="125"/>
        <v>34</v>
      </c>
      <c r="EW53" s="149" t="str">
        <f t="shared" si="125"/>
        <v>En el mes de junio se realizó seguimiento a las peticiones  registradas en el  Sistema Distrital para la Gestión de Peticiones Ciudadanas   pendientes de cierre a final de mes (mayo/2020) según términos de ley,   en la Secretaría General y entidades distritales; encontrándose que en el Distrito Capital  20.738 peticiones se encontraban pendientes  de cierre (para validación por parte de las entidades) siendo las 10 entidades con el mayor número de peticiones pendientes de  cierre y que requieren validación, las siguientes: 
Secretaría Distrital de Gobierno  (17.126  peticiones; 82,58% del total pendiente de cierre en el Distrito Capital); UAE de Servicios Públicos -UAESP (1.125 peticiones; 5,42%);  Secretaría Distrital del Hábitat (531 peticiones; 2,56%); Secretaría General  (388 peticiones; 1,87%); Secretaría Distrital de Hacienda     (247 peticiones; 1,19%), Secretaría Distrital de Integración Social  (231 peticiones; 1,11%);  Empresa de Acueducto, Alcantarillado y Aseo de Bogotá (220 peticiones; 1,06%);  IPES (203 peticiones; 0,98%); Transmilenio  (110  peticiones ; 0,53%); CODENSA (79 peticiones; 0,38%)   Así mismo, otras entidades presentaron 478 peticiones que representan el 2,32% del total peticiones pendientes de  cierre en el Distrito Capital y que requieren validación.
En total se identificaron treinta (30) entidades Distritales y cuatro (4) dependencias de la Secretara General con peticiones pendientes de cierre y que requieren validación, a las cuales se les envió comunicación.</v>
      </c>
      <c r="EX53" s="149" t="str">
        <f t="shared" si="125"/>
        <v>N.A</v>
      </c>
      <c r="EY53" s="149" t="str">
        <f t="shared" si="125"/>
        <v>Se promovió a nivel Distrital la adecuada atención  de peticiones ciudadanas dentro de los tiempos establecidos por la ley, dejando evidencia de aquellas peticiones pendientes  de cierre que deben ser validadas y atendidas por parte de las entidades</v>
      </c>
      <c r="EZ53" s="149">
        <f t="shared" si="91"/>
        <v>188</v>
      </c>
      <c r="FA53" s="149">
        <f t="shared" si="91"/>
        <v>188</v>
      </c>
      <c r="FB53" s="149">
        <f t="shared" si="91"/>
        <v>0</v>
      </c>
      <c r="FC53" s="149">
        <f t="shared" si="91"/>
        <v>0</v>
      </c>
      <c r="FD53" s="149">
        <f t="shared" si="92"/>
        <v>0</v>
      </c>
      <c r="FE53" s="149">
        <f t="shared" si="92"/>
        <v>0</v>
      </c>
      <c r="FF53" s="149">
        <f t="shared" si="92"/>
        <v>0</v>
      </c>
      <c r="FG53" s="149">
        <f t="shared" si="92"/>
        <v>0</v>
      </c>
      <c r="FH53" s="149">
        <f t="shared" si="92"/>
        <v>0</v>
      </c>
      <c r="FI53" s="149">
        <f t="shared" si="92"/>
        <v>0</v>
      </c>
      <c r="FJ53" s="149">
        <f t="shared" si="92"/>
        <v>0</v>
      </c>
      <c r="FK53" s="149">
        <f t="shared" si="92"/>
        <v>0</v>
      </c>
      <c r="FL53" s="149">
        <f t="shared" si="92"/>
        <v>0</v>
      </c>
      <c r="FM53" s="149">
        <f t="shared" si="92"/>
        <v>0</v>
      </c>
      <c r="FN53" s="149">
        <f t="shared" si="93"/>
        <v>0</v>
      </c>
      <c r="FO53" s="149">
        <f t="shared" si="93"/>
        <v>0</v>
      </c>
      <c r="FP53" s="149">
        <f t="shared" si="93"/>
        <v>0</v>
      </c>
      <c r="FQ53" s="149">
        <f t="shared" si="93"/>
        <v>0</v>
      </c>
      <c r="FR53" s="149">
        <f t="shared" si="93"/>
        <v>0</v>
      </c>
      <c r="FS53" s="149">
        <f t="shared" si="93"/>
        <v>0</v>
      </c>
      <c r="FT53" s="149">
        <f t="shared" si="93"/>
        <v>0</v>
      </c>
      <c r="FU53" s="149">
        <f t="shared" si="93"/>
        <v>0</v>
      </c>
      <c r="FV53" s="149">
        <f t="shared" si="93"/>
        <v>0</v>
      </c>
      <c r="FW53" s="149">
        <f t="shared" si="93"/>
        <v>0</v>
      </c>
      <c r="FX53" s="149">
        <f t="shared" si="94"/>
        <v>0</v>
      </c>
      <c r="FY53" s="149">
        <f t="shared" si="94"/>
        <v>0</v>
      </c>
      <c r="FZ53" s="149">
        <f t="shared" si="94"/>
        <v>0</v>
      </c>
      <c r="GA53" s="149">
        <f t="shared" si="94"/>
        <v>0</v>
      </c>
      <c r="GB53" s="149">
        <f t="shared" si="94"/>
        <v>0</v>
      </c>
      <c r="GC53" s="149">
        <f t="shared" si="94"/>
        <v>0</v>
      </c>
      <c r="GD53" s="149">
        <f t="shared" si="94"/>
        <v>0</v>
      </c>
      <c r="GE53" s="149">
        <f t="shared" si="94"/>
        <v>0</v>
      </c>
      <c r="GF53" s="149">
        <f t="shared" si="108"/>
        <v>1</v>
      </c>
      <c r="GG53" s="149">
        <f t="shared" si="109"/>
        <v>1</v>
      </c>
      <c r="GH53" s="149">
        <f t="shared" si="110"/>
        <v>1</v>
      </c>
      <c r="GI53" s="149">
        <f t="shared" si="111"/>
        <v>1</v>
      </c>
      <c r="GJ53" s="149">
        <f t="shared" si="112"/>
        <v>1</v>
      </c>
      <c r="GK53" s="149">
        <f t="shared" si="113"/>
        <v>1</v>
      </c>
      <c r="GL53" s="149">
        <f t="shared" si="114"/>
        <v>100</v>
      </c>
      <c r="GM53" s="149">
        <f t="shared" si="115"/>
        <v>100</v>
      </c>
      <c r="GN53" s="149">
        <f t="shared" si="116"/>
        <v>100</v>
      </c>
      <c r="GO53" s="149">
        <f t="shared" si="117"/>
        <v>100</v>
      </c>
      <c r="GP53" s="149">
        <f t="shared" si="118"/>
        <v>100</v>
      </c>
      <c r="GQ53" s="149">
        <f t="shared" si="118"/>
        <v>100</v>
      </c>
      <c r="GR53" s="153">
        <f t="shared" si="124"/>
        <v>100</v>
      </c>
      <c r="GS53" s="149">
        <f t="shared" si="119"/>
        <v>100</v>
      </c>
      <c r="GT53" s="149">
        <f>+IF(OR($A53=52,$A53=124),1,IFERROR(IF($X53="Creciente",IF($AB53="Número",SUM($GL53:GM53)/SUM($DO53:DP53)*($AX53-$AW53),SUM($GL53:GM53)/SUM($DO53:DP53))*($AX53-$AW53),IF($DG53="Creciente",GM53*GM53/GM53,IF(AND($DG53="Constante",$AB53="Porcentaje"),AVERAGEIF($GL53:GM53,"&lt;&gt;0")/AVERAGEIF($DO53:DP53,"&lt;&gt;0")*100,SUM($GL53:GM53)/SUM($DO53:DP53)*$DU53))),GS53))</f>
        <v>100</v>
      </c>
      <c r="GU53" s="149">
        <f>+IF(OR($A53=52,$A53=124),1,IFERROR(IF($X53="Creciente",IF($AB53="Número",SUM($GL53:GN53)/SUM($DO53:DQ53)*($AX53-$AW53),SUM($GL53:GN53)/SUM($DO53:DQ53))*($AX53-$AW53),IF($DG53="Creciente",GN53*GN53/GN53,IF(AND($DG53="Constante",$AB53="Porcentaje"),AVERAGEIF($GL53:GN53,"&lt;&gt;0")/AVERAGEIF($DO53:DQ53,"&lt;&gt;0")*100,SUM($GL53:GN53)/SUM($DO53:DQ53)*$DU53))),GT53))</f>
        <v>100</v>
      </c>
      <c r="GV53" s="149">
        <f>+IF(OR($A53=52,$A53=124),1,IFERROR(IF($X53="Creciente",IF($AB53="Número",SUM($GL53:GO53)/SUM($DO53:DR53)*($AX53-$AW53),SUM($GL53:GO53)/SUM($DO53:DR53))*($AX53-$AW53),IF($DG53="Creciente",GO53*GO53/GO53,IF(AND($DG53="Constante",$AB53="Porcentaje"),AVERAGEIF($GL53:GO53,"&lt;&gt;0")/AVERAGEIF($DO53:DR53,"&lt;&gt;0")*100,SUM($GL53:GO53)/SUM($DO53:DR53)*$DU53))),GU53))</f>
        <v>100</v>
      </c>
      <c r="GW53" s="149">
        <f>+IF(OR($A53=52,$A53=124),1,IFERROR(IF($X53="Creciente",IF($AB53="Número",SUM($GL53:GP53)/SUM($DO53:DS53)*($AX53-$AW53),SUM($GL53:GP53)/SUM($DO53:DS53))*($AX53-$AW53),IF($DG53="Creciente",GP53*GP53/GP53,IF(AND($DG53="Constante",$AB53="Porcentaje"),AVERAGEIF($GL53:GP53,"&lt;&gt;0")/AVERAGEIF($DO53:DS53,"&lt;&gt;0")*100,SUM($GL53:GP53)/SUM($DO53:DS53)*$DU53))),GV53))</f>
        <v>100</v>
      </c>
      <c r="GX53" s="149">
        <f>+IF(OR($A53=52,$A53=124),1,IFERROR(IF($X53="Creciente",IF($AB53="Número",SUM($GL53:GQ53)/SUM($DO53:DT53)*($AX53-$AW53),SUM($GL53:GQ53)/SUM($DO53:DT53))*($AX53-$AW53),IF($DG53="Creciente",GQ53*GQ53/GQ53,IF(AND($DG53="Constante",$AB53="Porcentaje"),AVERAGEIF($GL53:GQ53,"&lt;&gt;0")/AVERAGEIF($DO53:DT53,"&lt;&gt;0")*100,SUM($GL53:GQ53)/SUM($DO53:DT53)*$DU53))),GW53))</f>
        <v>100</v>
      </c>
      <c r="GY53" s="149" t="str">
        <f t="shared" si="120"/>
        <v>Realizar seguimiento a los requerimientos vencidos según los términos de ley en la Secretaría General y en las entidades distritales, registrados en el Sistema Distrital de Quejas y Soluciones.</v>
      </c>
      <c r="GZ53" s="149">
        <f t="shared" si="121"/>
        <v>0</v>
      </c>
      <c r="HA53" s="149" t="str">
        <f t="shared" si="122"/>
        <v>Realizar seguimiento a los requerimientos vencidos en términos de Ley,  promoviendo a nivel Distrital la adecuada atención  de peticiones ciudadanas dentro de los tiempos establecidos por la ley.</v>
      </c>
      <c r="HB53" s="149" t="str">
        <f t="shared" si="123"/>
        <v xml:space="preserve">Comunicaciones enviadas para realizar seguimiento a peticiones vencidas (reporte mes vencido)     </v>
      </c>
      <c r="HC53" s="149" t="str">
        <f t="shared" si="98"/>
        <v>Cumple</v>
      </c>
      <c r="HD53" s="149" t="str">
        <f t="shared" si="98"/>
        <v>Cumplido</v>
      </c>
      <c r="HE53" s="149" t="str">
        <f t="shared" si="98"/>
        <v>Adecuado</v>
      </c>
      <c r="HF53" s="149" t="str">
        <f t="shared" si="98"/>
        <v>Coherente</v>
      </c>
      <c r="HG53" s="149" t="str">
        <f t="shared" si="98"/>
        <v>Concuerda</v>
      </c>
      <c r="HH53" s="149" t="str">
        <f t="shared" si="98"/>
        <v>Concuerda</v>
      </c>
      <c r="HI53" s="149">
        <f t="shared" si="98"/>
        <v>0</v>
      </c>
      <c r="HJ53" s="149" t="str">
        <f t="shared" si="98"/>
        <v>Adecuado</v>
      </c>
      <c r="HK53" s="149" t="str">
        <f t="shared" si="98"/>
        <v>Oportuna</v>
      </c>
      <c r="HL53" s="149" t="str">
        <f t="shared" si="98"/>
        <v>Ninguna</v>
      </c>
      <c r="HM53" s="149" t="str">
        <f t="shared" si="99"/>
        <v>Marcela Andrea García Guerrero</v>
      </c>
      <c r="HN53" s="149" t="str">
        <f t="shared" si="99"/>
        <v>Cumple</v>
      </c>
      <c r="HO53" s="149" t="str">
        <f t="shared" si="99"/>
        <v>Cumplido</v>
      </c>
      <c r="HP53" s="149" t="str">
        <f t="shared" si="99"/>
        <v>Adecuado</v>
      </c>
      <c r="HQ53" s="149" t="str">
        <f t="shared" si="99"/>
        <v>Coherente</v>
      </c>
      <c r="HR53" s="149" t="str">
        <f t="shared" si="99"/>
        <v>Concuerda</v>
      </c>
      <c r="HS53" s="149" t="str">
        <f t="shared" si="99"/>
        <v>Concuerda</v>
      </c>
      <c r="HT53" s="149">
        <f t="shared" si="99"/>
        <v>0</v>
      </c>
      <c r="HU53" s="149" t="str">
        <f t="shared" si="99"/>
        <v>Adecuado</v>
      </c>
      <c r="HV53" s="149" t="str">
        <f t="shared" si="99"/>
        <v>Oportuna</v>
      </c>
      <c r="HW53" s="149" t="str">
        <f t="shared" si="99"/>
        <v>Ninguna</v>
      </c>
      <c r="HX53" s="149" t="str">
        <f t="shared" si="99"/>
        <v>Marcela Andrea García Guerrero</v>
      </c>
    </row>
    <row r="54" spans="1:232" s="149" customFormat="1" x14ac:dyDescent="0.3">
      <c r="A54" s="225">
        <v>87</v>
      </c>
      <c r="B54" s="146" t="s">
        <v>1144</v>
      </c>
      <c r="C54" s="146" t="s">
        <v>1144</v>
      </c>
      <c r="D54" s="146" t="s">
        <v>1144</v>
      </c>
      <c r="E54" s="146" t="s">
        <v>1144</v>
      </c>
      <c r="F54" s="136" t="s">
        <v>1626</v>
      </c>
      <c r="G54" s="146" t="s">
        <v>1144</v>
      </c>
      <c r="H54" s="146" t="s">
        <v>1144</v>
      </c>
      <c r="I54" s="149" t="s">
        <v>1146</v>
      </c>
      <c r="J54" s="154" t="s">
        <v>187</v>
      </c>
      <c r="K54" s="154" t="s">
        <v>188</v>
      </c>
      <c r="L54" s="154" t="s">
        <v>189</v>
      </c>
      <c r="M54" s="154" t="s">
        <v>1147</v>
      </c>
      <c r="N54" s="154" t="s">
        <v>1305</v>
      </c>
      <c r="O54" s="154" t="s">
        <v>1627</v>
      </c>
      <c r="P54" s="148" t="s">
        <v>1626</v>
      </c>
      <c r="Q54" s="154" t="s">
        <v>1628</v>
      </c>
      <c r="R54" s="154" t="s">
        <v>1629</v>
      </c>
      <c r="S54" s="154" t="s">
        <v>1630</v>
      </c>
      <c r="T54" s="154" t="s">
        <v>1631</v>
      </c>
      <c r="U54" s="154" t="s">
        <v>1632</v>
      </c>
      <c r="V54" s="154" t="s">
        <v>1633</v>
      </c>
      <c r="W54" s="148" t="s">
        <v>601</v>
      </c>
      <c r="X54" s="154" t="s">
        <v>601</v>
      </c>
      <c r="Y54" s="154" t="s">
        <v>1634</v>
      </c>
      <c r="Z54" s="154" t="s">
        <v>1635</v>
      </c>
      <c r="AA54" s="154" t="s">
        <v>1636</v>
      </c>
      <c r="AB54" s="154" t="s">
        <v>602</v>
      </c>
      <c r="AC54" s="154" t="s">
        <v>1271</v>
      </c>
      <c r="AD54" s="154" t="s">
        <v>1160</v>
      </c>
      <c r="AE54" s="154">
        <v>2016</v>
      </c>
      <c r="AF54" s="154">
        <v>0</v>
      </c>
      <c r="AG54" s="154">
        <v>2016</v>
      </c>
      <c r="AH54" s="154">
        <v>0</v>
      </c>
      <c r="AI54" s="154">
        <v>1</v>
      </c>
      <c r="AJ54" s="154">
        <v>1</v>
      </c>
      <c r="AK54" s="154">
        <v>1</v>
      </c>
      <c r="AL54" s="217">
        <v>0.25</v>
      </c>
      <c r="AM54" s="154">
        <v>0</v>
      </c>
      <c r="AN54" s="146" t="s">
        <v>1144</v>
      </c>
      <c r="AO54" s="146" t="s">
        <v>1144</v>
      </c>
      <c r="AP54" s="146" t="s">
        <v>1144</v>
      </c>
      <c r="AQ54" s="146" t="s">
        <v>1144</v>
      </c>
      <c r="AR54" s="146" t="s">
        <v>1144</v>
      </c>
      <c r="AS54" s="150" t="s">
        <v>1144</v>
      </c>
      <c r="AT54" s="232">
        <v>0</v>
      </c>
      <c r="AU54" s="232">
        <v>100</v>
      </c>
      <c r="AV54" s="232">
        <v>100</v>
      </c>
      <c r="AW54" s="232">
        <v>100</v>
      </c>
      <c r="AX54" s="211">
        <v>100</v>
      </c>
      <c r="AY54" s="232">
        <v>0</v>
      </c>
      <c r="BD54" s="149">
        <v>0</v>
      </c>
      <c r="BJ54" s="149">
        <v>0</v>
      </c>
      <c r="BK54" s="146" t="s">
        <v>1144</v>
      </c>
      <c r="BL54" s="146" t="s">
        <v>1144</v>
      </c>
      <c r="BM54" s="146" t="s">
        <v>1144</v>
      </c>
      <c r="BN54" s="146" t="s">
        <v>1144</v>
      </c>
      <c r="BO54" s="146" t="s">
        <v>1144</v>
      </c>
      <c r="BP54" s="146" t="s">
        <v>1144</v>
      </c>
      <c r="BQ54" s="146" t="s">
        <v>1144</v>
      </c>
      <c r="BR54" s="146" t="s">
        <v>1144</v>
      </c>
      <c r="BS54" s="146" t="s">
        <v>1144</v>
      </c>
      <c r="BT54" s="146" t="s">
        <v>1144</v>
      </c>
      <c r="BU54" s="146" t="s">
        <v>1144</v>
      </c>
      <c r="BV54" s="146" t="s">
        <v>1144</v>
      </c>
      <c r="BW54" s="154" t="s">
        <v>1144</v>
      </c>
      <c r="BX54" s="154" t="s">
        <v>1144</v>
      </c>
      <c r="BY54" s="154">
        <v>1</v>
      </c>
      <c r="BZ54" s="154">
        <v>1</v>
      </c>
      <c r="CA54" s="154" t="s">
        <v>1144</v>
      </c>
      <c r="CB54" s="154" t="s">
        <v>1144</v>
      </c>
      <c r="CC54" s="154" t="s">
        <v>1144</v>
      </c>
      <c r="CD54" s="219">
        <v>1</v>
      </c>
      <c r="CE54" s="219" t="s">
        <v>286</v>
      </c>
      <c r="CF54" s="154" t="s">
        <v>1144</v>
      </c>
      <c r="CG54" s="154" t="s">
        <v>1144</v>
      </c>
      <c r="CH54" s="154" t="s">
        <v>1144</v>
      </c>
      <c r="CI54" s="154" t="s">
        <v>1144</v>
      </c>
      <c r="CJ54" s="154" t="s">
        <v>1144</v>
      </c>
      <c r="CK54" s="154" t="s">
        <v>1144</v>
      </c>
      <c r="CL54" s="154" t="s">
        <v>1144</v>
      </c>
      <c r="CM54" s="154" t="s">
        <v>1144</v>
      </c>
      <c r="CN54" s="154" t="s">
        <v>1144</v>
      </c>
      <c r="CO54" s="154" t="s">
        <v>1144</v>
      </c>
      <c r="CP54" s="154" t="s">
        <v>1144</v>
      </c>
      <c r="CQ54" s="154" t="s">
        <v>1144</v>
      </c>
      <c r="CR54" s="154" t="s">
        <v>1144</v>
      </c>
      <c r="CS54" s="154" t="s">
        <v>1144</v>
      </c>
      <c r="CT54" s="154" t="s">
        <v>1144</v>
      </c>
      <c r="CU54" s="154" t="s">
        <v>1144</v>
      </c>
      <c r="CV54" s="154" t="s">
        <v>1144</v>
      </c>
      <c r="CW54" s="154" t="s">
        <v>1144</v>
      </c>
      <c r="CX54" s="154" t="s">
        <v>1144</v>
      </c>
      <c r="CY54" s="154" t="s">
        <v>1144</v>
      </c>
      <c r="CZ54" s="154" t="s">
        <v>1144</v>
      </c>
      <c r="DA54" s="154" t="s">
        <v>1144</v>
      </c>
      <c r="DB54" s="152" t="str">
        <f t="shared" si="32"/>
        <v xml:space="preserve">Plan Estratégico Institucional, Plan de Acción, SGC, PROCESO: Gestión del Sistema Distrital de servicio a la ciudadanía, </v>
      </c>
      <c r="DC54" s="149" t="str">
        <f t="shared" si="88"/>
        <v>Se pretende fortalecer y optimizar los procesos e instrumentos de IVC en el Distrito Capital mediante la actualización de la plataforma tecnológica del SUDIVC. Se espera medir el avance en la adecuación de la herramienta, acorde con los requerimientos de la dependencia.</v>
      </c>
      <c r="DD54" s="149" t="str">
        <f t="shared" si="88"/>
        <v>Suscribir acuerdos de servicio con las entidades distritales de IVC.
Gestionar elaboración de la matriz de riesgo del SUDIVC.
Realizar pruebas tecnológicas y funcionales de la plataforma IVC.
Realizar y evaluar piloto y ejecutar replica en el DC.</v>
      </c>
      <c r="DE54" s="149" t="str">
        <f t="shared" si="88"/>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
      <c r="DF54" s="149" t="str">
        <f t="shared" si="88"/>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v>
      </c>
      <c r="DG54" s="149" t="str">
        <f t="shared" si="88"/>
        <v>Suma</v>
      </c>
      <c r="DH54" s="149">
        <f t="shared" si="2"/>
        <v>1</v>
      </c>
      <c r="DI54" s="149">
        <f t="shared" si="3"/>
        <v>0</v>
      </c>
      <c r="DJ54" s="149">
        <f t="shared" si="4"/>
        <v>0</v>
      </c>
      <c r="DK54" s="149">
        <f t="shared" si="5"/>
        <v>0</v>
      </c>
      <c r="DL54" s="149">
        <f t="shared" si="6"/>
        <v>1</v>
      </c>
      <c r="DM54" s="149">
        <f t="shared" si="7"/>
        <v>0</v>
      </c>
      <c r="DN54" s="149">
        <f t="shared" ref="DN54:DN58" si="126">+VLOOKUP($A54,consolidado,MATCH(DT$5,consolidadofila,0),0)</f>
        <v>0</v>
      </c>
      <c r="DO54" s="149">
        <f t="shared" si="100"/>
        <v>0</v>
      </c>
      <c r="DP54" s="149">
        <f t="shared" si="100"/>
        <v>0</v>
      </c>
      <c r="DQ54" s="149">
        <f t="shared" si="100"/>
        <v>0</v>
      </c>
      <c r="DR54" s="149">
        <f t="shared" si="100"/>
        <v>100</v>
      </c>
      <c r="DS54" s="149">
        <f t="shared" si="100"/>
        <v>0</v>
      </c>
      <c r="DT54" s="149">
        <f t="shared" si="100"/>
        <v>0</v>
      </c>
      <c r="DU54" s="149">
        <f t="shared" si="89"/>
        <v>100</v>
      </c>
      <c r="DV54" s="149">
        <f t="shared" si="89"/>
        <v>0</v>
      </c>
      <c r="DW54" s="149">
        <f t="shared" si="89"/>
        <v>0</v>
      </c>
      <c r="DX54" s="149" t="str">
        <f t="shared" si="89"/>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Para el año en curso, la subdirección presentará una propuesta para lograr la interoperabilidad con los sistemas de información en el ejercicio de IVC,  con los que cuenta la Secretaría Distrital de Salud y la Secretaría Distrital de Ambiente, esto ayudará a obetener datos en línea del desarrollo de las visitas realizadas.
Esta propuesta esta descrita en el plan operativo de la dependencia, la cual consta de 4 fases:
1.Mesas de trabajo con las entidades para estandarización de la estructura del XML en el servicio web.
2.Prueba de envío de alertas a los sistemas de las entidades desde la plataforma IVC.
3. Pruebas piloto en visitas multidisciplinarias.
4. Elaboración de documentos de propuesta para actualización de la plataforma.
 </v>
      </c>
      <c r="DY54" s="149" t="str">
        <f t="shared" si="89"/>
        <v>N/A</v>
      </c>
      <c r="DZ54" s="149" t="str">
        <f t="shared" si="89"/>
        <v>N/A</v>
      </c>
      <c r="EA54" s="149">
        <f t="shared" si="89"/>
        <v>0</v>
      </c>
      <c r="EB54" s="149">
        <f t="shared" si="89"/>
        <v>0</v>
      </c>
      <c r="EC54" s="149" t="str">
        <f t="shared" si="89"/>
        <v xml:space="preserve">En este mes se empiezan las reuniones para abordar los temas de interoperabilidad y estandarización de formatos para realizar la estructura en XML.
 </v>
      </c>
      <c r="ED54" s="149" t="str">
        <f t="shared" si="89"/>
        <v>N/A</v>
      </c>
      <c r="EE54" s="149" t="str">
        <f t="shared" si="90"/>
        <v>N/A</v>
      </c>
      <c r="EF54" s="149">
        <f t="shared" si="90"/>
        <v>0</v>
      </c>
      <c r="EG54" s="149">
        <f t="shared" si="90"/>
        <v>0</v>
      </c>
      <c r="EH54" s="149" t="str">
        <f t="shared" si="90"/>
        <v xml:space="preserve">Por medio de correo electrónico, se socializa con los referentes de las entidades asigandos al tema, las especificaciones que se deben tener para el desarrollo de los servicios web.
 </v>
      </c>
      <c r="EI54" s="149" t="str">
        <f t="shared" si="90"/>
        <v>N/A</v>
      </c>
      <c r="EJ54" s="149" t="str">
        <f t="shared" si="90"/>
        <v>N/A</v>
      </c>
      <c r="EK54" s="149">
        <f t="shared" si="90"/>
        <v>1</v>
      </c>
      <c r="EL54" s="149">
        <f t="shared" si="90"/>
        <v>1</v>
      </c>
      <c r="EM54" s="149" t="str">
        <f t="shared" si="90"/>
        <v xml:space="preserve">Se informa que este mes se da cumplimiento a la fase 1, con la realizaron mesas de trabajo con las  entidades antes mencionadas para estandarización de la estructura del XML en el servicio web.
 </v>
      </c>
      <c r="EN54" s="149" t="str">
        <f t="shared" si="90"/>
        <v>N/A</v>
      </c>
      <c r="EO54" s="149" t="str">
        <f t="shared" si="91"/>
        <v xml:space="preserve">Con el cumplimiento de esta actividad, se contribuye a la implementación de la interoperabilidad; puesto que al crear un estandar antes de iniciar los desarrollos, aumenta la probabilidad de éxito de cara a las pruebas a llevar a cabo.  </v>
      </c>
      <c r="EP54" s="149">
        <f t="shared" si="91"/>
        <v>0</v>
      </c>
      <c r="EQ54" s="149">
        <f t="shared" si="91"/>
        <v>0</v>
      </c>
      <c r="ER54" s="149" t="str">
        <f t="shared" si="91"/>
        <v>N/A</v>
      </c>
      <c r="ES54" s="149" t="str">
        <f t="shared" si="91"/>
        <v>N/A</v>
      </c>
      <c r="ET54" s="149" t="str">
        <f t="shared" si="91"/>
        <v>N/A</v>
      </c>
      <c r="EU54" s="149">
        <f t="shared" si="125"/>
        <v>0</v>
      </c>
      <c r="EV54" s="149">
        <f t="shared" si="125"/>
        <v>0</v>
      </c>
      <c r="EW54" s="149" t="str">
        <f t="shared" si="125"/>
        <v>N/A</v>
      </c>
      <c r="EX54" s="149" t="str">
        <f t="shared" si="125"/>
        <v>N/A</v>
      </c>
      <c r="EY54" s="149" t="str">
        <f t="shared" si="125"/>
        <v>N/A</v>
      </c>
      <c r="EZ54" s="149">
        <f t="shared" si="91"/>
        <v>1</v>
      </c>
      <c r="FA54" s="149">
        <f t="shared" si="91"/>
        <v>1</v>
      </c>
      <c r="FB54" s="149" t="str">
        <f t="shared" si="91"/>
        <v/>
      </c>
      <c r="FC54" s="149" t="str">
        <f t="shared" si="91"/>
        <v/>
      </c>
      <c r="FD54" s="149" t="str">
        <f t="shared" si="92"/>
        <v/>
      </c>
      <c r="FE54" s="149" t="str">
        <f t="shared" si="92"/>
        <v/>
      </c>
      <c r="FF54" s="149" t="str">
        <f t="shared" si="92"/>
        <v/>
      </c>
      <c r="FG54" s="149" t="str">
        <f t="shared" si="92"/>
        <v/>
      </c>
      <c r="FH54" s="149" t="str">
        <f t="shared" si="92"/>
        <v/>
      </c>
      <c r="FI54" s="149" t="str">
        <f t="shared" si="92"/>
        <v/>
      </c>
      <c r="FJ54" s="149" t="str">
        <f t="shared" si="92"/>
        <v/>
      </c>
      <c r="FK54" s="149" t="str">
        <f t="shared" si="92"/>
        <v/>
      </c>
      <c r="FL54" s="149" t="str">
        <f t="shared" si="92"/>
        <v/>
      </c>
      <c r="FM54" s="149" t="str">
        <f t="shared" si="92"/>
        <v/>
      </c>
      <c r="FN54" s="149" t="str">
        <f t="shared" si="93"/>
        <v/>
      </c>
      <c r="FO54" s="149" t="str">
        <f t="shared" si="93"/>
        <v/>
      </c>
      <c r="FP54" s="149" t="str">
        <f t="shared" si="93"/>
        <v/>
      </c>
      <c r="FQ54" s="149" t="str">
        <f t="shared" si="93"/>
        <v/>
      </c>
      <c r="FR54" s="149" t="str">
        <f t="shared" si="93"/>
        <v/>
      </c>
      <c r="FS54" s="149" t="str">
        <f t="shared" si="93"/>
        <v/>
      </c>
      <c r="FT54" s="149" t="str">
        <f t="shared" si="93"/>
        <v/>
      </c>
      <c r="FU54" s="149" t="str">
        <f t="shared" si="93"/>
        <v/>
      </c>
      <c r="FV54" s="149" t="str">
        <f t="shared" si="93"/>
        <v/>
      </c>
      <c r="FW54" s="149" t="str">
        <f t="shared" si="93"/>
        <v/>
      </c>
      <c r="FX54" s="149" t="str">
        <f t="shared" si="94"/>
        <v/>
      </c>
      <c r="FY54" s="149" t="str">
        <f t="shared" si="94"/>
        <v/>
      </c>
      <c r="FZ54" s="149" t="str">
        <f t="shared" si="94"/>
        <v/>
      </c>
      <c r="GA54" s="149" t="str">
        <f t="shared" si="94"/>
        <v/>
      </c>
      <c r="GB54" s="149" t="str">
        <f t="shared" si="94"/>
        <v/>
      </c>
      <c r="GC54" s="149" t="str">
        <f t="shared" si="94"/>
        <v/>
      </c>
      <c r="GD54" s="149" t="str">
        <f t="shared" si="94"/>
        <v/>
      </c>
      <c r="GE54" s="149" t="str">
        <f t="shared" si="94"/>
        <v/>
      </c>
      <c r="GF54" s="149">
        <f t="shared" si="33"/>
        <v>0</v>
      </c>
      <c r="GG54" s="149">
        <f t="shared" si="22"/>
        <v>0</v>
      </c>
      <c r="GH54" s="149">
        <f t="shared" si="23"/>
        <v>0</v>
      </c>
      <c r="GI54" s="149">
        <f t="shared" si="24"/>
        <v>1</v>
      </c>
      <c r="GJ54" s="149">
        <f t="shared" si="25"/>
        <v>0</v>
      </c>
      <c r="GK54" s="149">
        <f t="shared" si="34"/>
        <v>1</v>
      </c>
      <c r="GL54" s="149">
        <f t="shared" si="15"/>
        <v>0</v>
      </c>
      <c r="GM54" s="149">
        <f t="shared" si="16"/>
        <v>0</v>
      </c>
      <c r="GN54" s="149">
        <f t="shared" si="17"/>
        <v>0</v>
      </c>
      <c r="GO54" s="149">
        <f t="shared" si="18"/>
        <v>100</v>
      </c>
      <c r="GP54" s="149">
        <f t="shared" si="19"/>
        <v>0</v>
      </c>
      <c r="GQ54" s="149">
        <f t="shared" si="19"/>
        <v>0</v>
      </c>
      <c r="GR54" s="153">
        <f t="shared" si="124"/>
        <v>100</v>
      </c>
      <c r="GS54" s="149" t="str">
        <f t="shared" si="37"/>
        <v>No Programó</v>
      </c>
      <c r="GT54" s="149" t="str">
        <f>+IF(OR($A54=52,$A54=124),1,IFERROR(IF($X54="Creciente",IF($AB54="Número",SUM($GL54:GM54)/SUM($DO54:DP54)*($AX54-$AW54),SUM($GL54:GM54)/SUM($DO54:DP54))*($AX54-$AW54),IF($DG54="Creciente",GM54*GM54/GM54,IF(AND($DG54="Constante",$AB54="Porcentaje"),AVERAGEIF($GL54:GM54,"&lt;&gt;0")/AVERAGEIF($DO54:DP54,"&lt;&gt;0")*100,SUM($GL54:GM54)/SUM($DO54:DP54)*$DU54))),GS54))</f>
        <v>No Programó</v>
      </c>
      <c r="GU54" s="149" t="str">
        <f>+IF(OR($A54=52,$A54=124),1,IFERROR(IF($X54="Creciente",IF($AB54="Número",SUM($GL54:GN54)/SUM($DO54:DQ54)*($AX54-$AW54),SUM($GL54:GN54)/SUM($DO54:DQ54))*($AX54-$AW54),IF($DG54="Creciente",GN54*GN54/GN54,IF(AND($DG54="Constante",$AB54="Porcentaje"),AVERAGEIF($GL54:GN54,"&lt;&gt;0")/AVERAGEIF($DO54:DQ54,"&lt;&gt;0")*100,SUM($GL54:GN54)/SUM($DO54:DQ54)*$DU54))),GT54))</f>
        <v>No Programó</v>
      </c>
      <c r="GV54" s="149">
        <f>+IF(OR($A54=52,$A54=124),1,IFERROR(IF($X54="Creciente",IF($AB54="Número",SUM($GL54:GO54)/SUM($DO54:DR54)*($AX54-$AW54),SUM($GL54:GO54)/SUM($DO54:DR54))*($AX54-$AW54),IF($DG54="Creciente",GO54*GO54/GO54,IF(AND($DG54="Constante",$AB54="Porcentaje"),AVERAGEIF($GL54:GO54,"&lt;&gt;0")/AVERAGEIF($DO54:DR54,"&lt;&gt;0")*100,SUM($GL54:GO54)/SUM($DO54:DR54)*$DU54))),GU54))</f>
        <v>100</v>
      </c>
      <c r="GW54" s="149">
        <f>+IF(OR($A54=52,$A54=124),1,IFERROR(IF($X54="Creciente",IF($AB54="Número",SUM($GL54:GP54)/SUM($DO54:DS54)*($AX54-$AW54),SUM($GL54:GP54)/SUM($DO54:DS54))*($AX54-$AW54),IF($DG54="Creciente",GP54*GP54/GP54,IF(AND($DG54="Constante",$AB54="Porcentaje"),AVERAGEIF($GL54:GP54,"&lt;&gt;0")/AVERAGEIF($DO54:DS54,"&lt;&gt;0")*100,SUM($GL54:GP54)/SUM($DO54:DS54)*$DU54))),GV54))</f>
        <v>100</v>
      </c>
      <c r="GX54" s="149">
        <f>+IF(OR($A54=52,$A54=124),1,IFERROR(IF($X54="Creciente",IF($AB54="Número",SUM($GL54:GQ54)/SUM($DO54:DT54)*($AX54-$AW54),SUM($GL54:GQ54)/SUM($DO54:DT54))*($AX54-$AW54),IF($DG54="Creciente",GQ54*GQ54/GQ54,IF(AND($DG54="Constante",$AB54="Porcentaje"),AVERAGEIF($GL54:GQ54,"&lt;&gt;0")/AVERAGEIF($DO54:DT54,"&lt;&gt;0")*100,SUM($GL54:GQ54)/SUM($DO54:DT54)*$DU54))),GW54))</f>
        <v>100</v>
      </c>
      <c r="GY54" s="149" t="str">
        <f t="shared" si="28"/>
        <v>Se pretende fortalecer y optimizar los procesos e instrumentos de IVC en el Distrito Capital mediante la actualización de la plataforma tecnológica del SUDIVC. Se espera medir el avance en la adecuación de la herramienta, acorde con los requerimientos de la dependencia.</v>
      </c>
      <c r="GZ54" s="149" t="str">
        <f t="shared" si="29"/>
        <v>Suscribir acuerdos de servicio con las entidades distritales de IVC.
Gestionar elaboración de la matriz de riesgo del SUDIVC.
Realizar pruebas tecnológicas y funcionales de la plataforma IVC.
Realizar y evaluar piloto y ejecutar replica en el DC.</v>
      </c>
      <c r="HA54" s="149" t="str">
        <f t="shared" si="30"/>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
      <c r="HB54" s="149" t="str">
        <f t="shared" si="31"/>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v>
      </c>
      <c r="HC54" s="149" t="str">
        <f t="shared" si="98"/>
        <v>Cumple</v>
      </c>
      <c r="HD54" s="149" t="str">
        <f t="shared" si="98"/>
        <v>Cumplido</v>
      </c>
      <c r="HE54" s="149" t="str">
        <f t="shared" si="98"/>
        <v>Adecuado</v>
      </c>
      <c r="HF54" s="149" t="str">
        <f t="shared" si="98"/>
        <v>Coherente</v>
      </c>
      <c r="HG54" s="149" t="str">
        <f t="shared" si="98"/>
        <v>Concuerda</v>
      </c>
      <c r="HH54" s="149" t="str">
        <f t="shared" si="98"/>
        <v>Concuerda</v>
      </c>
      <c r="HI54" s="149">
        <f t="shared" si="98"/>
        <v>0</v>
      </c>
      <c r="HJ54" s="149" t="str">
        <f t="shared" si="98"/>
        <v>Adecuado</v>
      </c>
      <c r="HK54" s="149" t="str">
        <f t="shared" si="98"/>
        <v>Oportuna</v>
      </c>
      <c r="HL54" s="149" t="str">
        <f t="shared" si="98"/>
        <v>Ninguna</v>
      </c>
      <c r="HM54" s="149" t="str">
        <f t="shared" si="99"/>
        <v>Marcela Andrea García Guerrero</v>
      </c>
      <c r="HN54" s="149" t="str">
        <f t="shared" si="99"/>
        <v>No aplica</v>
      </c>
      <c r="HO54" s="149" t="str">
        <f t="shared" si="99"/>
        <v>No programó</v>
      </c>
      <c r="HP54" s="149" t="str">
        <f t="shared" si="99"/>
        <v>No aplica</v>
      </c>
      <c r="HQ54" s="149" t="str">
        <f t="shared" si="99"/>
        <v>No aplica</v>
      </c>
      <c r="HR54" s="149" t="str">
        <f t="shared" si="99"/>
        <v>No aplica</v>
      </c>
      <c r="HS54" s="149" t="str">
        <f t="shared" si="99"/>
        <v>No aplica</v>
      </c>
      <c r="HT54" s="149">
        <f t="shared" si="99"/>
        <v>0</v>
      </c>
      <c r="HU54" s="149" t="str">
        <f t="shared" si="99"/>
        <v>No aplica</v>
      </c>
      <c r="HV54" s="149" t="str">
        <f t="shared" si="99"/>
        <v>Oportuna</v>
      </c>
      <c r="HW54" s="149" t="str">
        <f t="shared" si="99"/>
        <v>Ninguna</v>
      </c>
      <c r="HX54" s="149" t="str">
        <f t="shared" si="99"/>
        <v>Marcela Andrea García Guerrero</v>
      </c>
    </row>
    <row r="55" spans="1:232" s="149" customFormat="1" x14ac:dyDescent="0.3">
      <c r="A55" s="225" t="s">
        <v>379</v>
      </c>
      <c r="B55" s="146" t="s">
        <v>1144</v>
      </c>
      <c r="C55" s="146" t="s">
        <v>1144</v>
      </c>
      <c r="D55" s="146" t="s">
        <v>1144</v>
      </c>
      <c r="E55" s="146" t="s">
        <v>1144</v>
      </c>
      <c r="F55" s="136" t="s">
        <v>1637</v>
      </c>
      <c r="G55" s="146" t="s">
        <v>1144</v>
      </c>
      <c r="H55" s="146" t="s">
        <v>1144</v>
      </c>
      <c r="I55" s="149" t="s">
        <v>1146</v>
      </c>
      <c r="J55" s="154" t="s">
        <v>187</v>
      </c>
      <c r="K55" s="154" t="s">
        <v>188</v>
      </c>
      <c r="L55" s="154" t="s">
        <v>189</v>
      </c>
      <c r="M55" s="154" t="s">
        <v>1147</v>
      </c>
      <c r="N55" s="154" t="s">
        <v>1305</v>
      </c>
      <c r="O55" s="154" t="s">
        <v>1627</v>
      </c>
      <c r="P55" s="148" t="s">
        <v>1637</v>
      </c>
      <c r="Q55" s="154" t="s">
        <v>1638</v>
      </c>
      <c r="R55" s="154"/>
      <c r="S55" s="154" t="s">
        <v>1639</v>
      </c>
      <c r="T55" s="154" t="s">
        <v>1638</v>
      </c>
      <c r="U55" s="154">
        <v>0</v>
      </c>
      <c r="V55" s="154" t="s">
        <v>1638</v>
      </c>
      <c r="W55" s="148" t="s">
        <v>638</v>
      </c>
      <c r="X55" s="154" t="s">
        <v>638</v>
      </c>
      <c r="Y55" s="154"/>
      <c r="Z55" s="154" t="s">
        <v>1640</v>
      </c>
      <c r="AA55" s="154" t="s">
        <v>1641</v>
      </c>
      <c r="AB55" s="154" t="s">
        <v>639</v>
      </c>
      <c r="AC55" s="154" t="s">
        <v>1271</v>
      </c>
      <c r="AD55" s="154" t="s">
        <v>1160</v>
      </c>
      <c r="AE55" s="154">
        <v>2019</v>
      </c>
      <c r="AF55" s="154">
        <v>0</v>
      </c>
      <c r="AG55" s="154">
        <v>2019</v>
      </c>
      <c r="AH55" s="154" t="s">
        <v>1161</v>
      </c>
      <c r="AI55" s="154" t="s">
        <v>1161</v>
      </c>
      <c r="AJ55" s="154" t="s">
        <v>1161</v>
      </c>
      <c r="AK55" s="154">
        <v>10</v>
      </c>
      <c r="AL55" s="220">
        <v>2</v>
      </c>
      <c r="AM55" s="154" t="s">
        <v>1161</v>
      </c>
      <c r="AN55" s="146" t="s">
        <v>1144</v>
      </c>
      <c r="AO55" s="146" t="s">
        <v>1144</v>
      </c>
      <c r="AP55" s="146" t="s">
        <v>1144</v>
      </c>
      <c r="AQ55" s="146" t="s">
        <v>1144</v>
      </c>
      <c r="AR55" s="146" t="s">
        <v>1144</v>
      </c>
      <c r="AS55" s="150" t="s">
        <v>1144</v>
      </c>
      <c r="AT55" s="156" t="s">
        <v>1161</v>
      </c>
      <c r="AU55" s="156" t="s">
        <v>1161</v>
      </c>
      <c r="AV55" s="156" t="s">
        <v>1161</v>
      </c>
      <c r="AW55" s="156">
        <v>10</v>
      </c>
      <c r="AX55" s="211">
        <v>2</v>
      </c>
      <c r="AY55" s="156" t="s">
        <v>1161</v>
      </c>
      <c r="BD55" s="149">
        <v>0</v>
      </c>
      <c r="BJ55" s="149">
        <v>0</v>
      </c>
      <c r="BK55" s="146" t="s">
        <v>1144</v>
      </c>
      <c r="BL55" s="146" t="s">
        <v>1144</v>
      </c>
      <c r="BM55" s="146" t="s">
        <v>1144</v>
      </c>
      <c r="BN55" s="146" t="s">
        <v>1144</v>
      </c>
      <c r="BO55" s="146" t="s">
        <v>1144</v>
      </c>
      <c r="BP55" s="146" t="s">
        <v>1144</v>
      </c>
      <c r="BQ55" s="146" t="s">
        <v>1144</v>
      </c>
      <c r="BR55" s="146" t="s">
        <v>1144</v>
      </c>
      <c r="BS55" s="146" t="s">
        <v>1144</v>
      </c>
      <c r="BT55" s="146" t="s">
        <v>1144</v>
      </c>
      <c r="BU55" s="146" t="s">
        <v>1144</v>
      </c>
      <c r="BV55" s="146" t="s">
        <v>1144</v>
      </c>
      <c r="BW55" s="154" t="s">
        <v>1144</v>
      </c>
      <c r="BX55" s="154" t="s">
        <v>1144</v>
      </c>
      <c r="BY55" s="154" t="s">
        <v>1144</v>
      </c>
      <c r="BZ55" s="154">
        <v>1</v>
      </c>
      <c r="CA55" s="154" t="s">
        <v>1144</v>
      </c>
      <c r="CB55" s="154" t="s">
        <v>1144</v>
      </c>
      <c r="CC55" s="154" t="s">
        <v>1144</v>
      </c>
      <c r="CD55" s="219">
        <v>1</v>
      </c>
      <c r="CE55" s="219" t="s">
        <v>286</v>
      </c>
      <c r="CF55" s="154" t="s">
        <v>1144</v>
      </c>
      <c r="CG55" s="154" t="s">
        <v>1144</v>
      </c>
      <c r="CH55" s="154" t="s">
        <v>1144</v>
      </c>
      <c r="CI55" s="154" t="s">
        <v>1144</v>
      </c>
      <c r="CJ55" s="154" t="s">
        <v>1144</v>
      </c>
      <c r="CK55" s="154" t="s">
        <v>1144</v>
      </c>
      <c r="CL55" s="154" t="s">
        <v>1144</v>
      </c>
      <c r="CM55" s="154" t="s">
        <v>1144</v>
      </c>
      <c r="CN55" s="154" t="s">
        <v>1144</v>
      </c>
      <c r="CO55" s="154" t="s">
        <v>1144</v>
      </c>
      <c r="CP55" s="154" t="s">
        <v>1144</v>
      </c>
      <c r="CQ55" s="154" t="s">
        <v>1144</v>
      </c>
      <c r="CR55" s="154" t="s">
        <v>1144</v>
      </c>
      <c r="CS55" s="154" t="s">
        <v>1144</v>
      </c>
      <c r="CT55" s="154" t="s">
        <v>1144</v>
      </c>
      <c r="CU55" s="154" t="s">
        <v>1144</v>
      </c>
      <c r="CV55" s="154" t="s">
        <v>1144</v>
      </c>
      <c r="CW55" s="154" t="s">
        <v>1144</v>
      </c>
      <c r="CX55" s="154" t="s">
        <v>1144</v>
      </c>
      <c r="CY55" s="154" t="s">
        <v>1144</v>
      </c>
      <c r="CZ55" s="154" t="s">
        <v>1144</v>
      </c>
      <c r="DA55" s="154" t="s">
        <v>1144</v>
      </c>
      <c r="DB55" s="152" t="str">
        <f t="shared" si="32"/>
        <v xml:space="preserve">Plan de Acción, SGC, PROCESO: Gestión del Sistema Distrital de servicio a la ciudadanía, </v>
      </c>
      <c r="DC55" s="149">
        <f t="shared" si="88"/>
        <v>0</v>
      </c>
      <c r="DD55" s="149">
        <f t="shared" si="88"/>
        <v>0</v>
      </c>
      <c r="DE55" s="149" t="str">
        <f t="shared" si="88"/>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
      <c r="DF55" s="149" t="str">
        <f t="shared" si="88"/>
        <v xml:space="preserve">Informe de resultados.
</v>
      </c>
      <c r="DG55" s="149" t="str">
        <f t="shared" si="88"/>
        <v>Suma</v>
      </c>
      <c r="DH55" s="149">
        <f t="shared" si="2"/>
        <v>2</v>
      </c>
      <c r="DI55" s="149">
        <f t="shared" si="3"/>
        <v>1</v>
      </c>
      <c r="DJ55" s="149">
        <f t="shared" si="4"/>
        <v>0</v>
      </c>
      <c r="DK55" s="149">
        <f t="shared" si="5"/>
        <v>1</v>
      </c>
      <c r="DL55" s="149">
        <f t="shared" si="6"/>
        <v>0</v>
      </c>
      <c r="DM55" s="149">
        <f t="shared" si="7"/>
        <v>0</v>
      </c>
      <c r="DN55" s="149">
        <f t="shared" si="126"/>
        <v>0</v>
      </c>
      <c r="DO55" s="149">
        <f t="shared" si="100"/>
        <v>1</v>
      </c>
      <c r="DP55" s="149">
        <f t="shared" si="100"/>
        <v>0</v>
      </c>
      <c r="DQ55" s="149">
        <f t="shared" si="100"/>
        <v>1</v>
      </c>
      <c r="DR55" s="149">
        <f t="shared" si="100"/>
        <v>0</v>
      </c>
      <c r="DS55" s="149">
        <f t="shared" si="100"/>
        <v>0</v>
      </c>
      <c r="DT55" s="149">
        <f t="shared" si="100"/>
        <v>0</v>
      </c>
      <c r="DU55" s="149">
        <f t="shared" si="89"/>
        <v>2</v>
      </c>
      <c r="DV55" s="149">
        <f t="shared" si="89"/>
        <v>1</v>
      </c>
      <c r="DW55" s="149" t="str">
        <f t="shared" si="89"/>
        <v/>
      </c>
      <c r="DX55" s="149" t="str">
        <f t="shared" si="89"/>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Engativa el 22 de enero, en el cual se visitó 1 establecimiento de comercio.
</v>
      </c>
      <c r="DY55" s="149" t="str">
        <f t="shared" si="89"/>
        <v>N/A</v>
      </c>
      <c r="DZ55" s="149" t="str">
        <f t="shared" si="89"/>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
      <c r="EA55" s="149">
        <f t="shared" si="89"/>
        <v>0</v>
      </c>
      <c r="EB55" s="149" t="str">
        <f t="shared" si="89"/>
        <v/>
      </c>
      <c r="EC55" s="149" t="str">
        <f t="shared" si="89"/>
        <v>N/A</v>
      </c>
      <c r="ED55" s="149" t="str">
        <f t="shared" si="89"/>
        <v>N/A</v>
      </c>
      <c r="EE55" s="149" t="str">
        <f t="shared" si="90"/>
        <v>N/A</v>
      </c>
      <c r="EF55" s="149">
        <f t="shared" si="90"/>
        <v>1</v>
      </c>
      <c r="EG55" s="149" t="str">
        <f t="shared" si="90"/>
        <v/>
      </c>
      <c r="EH55" s="149" t="str">
        <f t="shared" si="90"/>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Teusaquillo el 8 de marzo, en el cual se visitaron 5 establecimientos de comercio. 
</v>
      </c>
      <c r="EI55" s="149" t="str">
        <f t="shared" si="90"/>
        <v>N/A</v>
      </c>
      <c r="EJ55" s="149" t="str">
        <f t="shared" si="90"/>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
      <c r="EK55" s="149">
        <f t="shared" si="90"/>
        <v>0</v>
      </c>
      <c r="EL55" s="149" t="str">
        <f t="shared" si="90"/>
        <v/>
      </c>
      <c r="EM55" s="149" t="str">
        <f t="shared" si="90"/>
        <v>N/A</v>
      </c>
      <c r="EN55" s="149" t="str">
        <f t="shared" si="90"/>
        <v>N/A</v>
      </c>
      <c r="EO55" s="149" t="str">
        <f t="shared" si="91"/>
        <v>N/A</v>
      </c>
      <c r="EP55" s="149">
        <f t="shared" si="91"/>
        <v>0</v>
      </c>
      <c r="EQ55" s="149" t="str">
        <f t="shared" si="91"/>
        <v/>
      </c>
      <c r="ER55" s="149" t="str">
        <f t="shared" si="91"/>
        <v>N/A</v>
      </c>
      <c r="ES55" s="149" t="str">
        <f t="shared" si="91"/>
        <v>N/A</v>
      </c>
      <c r="ET55" s="149" t="str">
        <f t="shared" si="91"/>
        <v>N/A</v>
      </c>
      <c r="EU55" s="149">
        <f t="shared" si="125"/>
        <v>0</v>
      </c>
      <c r="EV55" s="149" t="str">
        <f t="shared" si="125"/>
        <v/>
      </c>
      <c r="EW55" s="149" t="str">
        <f t="shared" si="125"/>
        <v>N/A</v>
      </c>
      <c r="EX55" s="149" t="str">
        <f t="shared" si="125"/>
        <v>N/A</v>
      </c>
      <c r="EY55" s="149" t="str">
        <f t="shared" si="125"/>
        <v>N/A</v>
      </c>
      <c r="EZ55" s="149">
        <f t="shared" si="91"/>
        <v>2</v>
      </c>
      <c r="FA55" s="149">
        <f t="shared" si="91"/>
        <v>0</v>
      </c>
      <c r="FB55" s="149" t="str">
        <f t="shared" si="91"/>
        <v/>
      </c>
      <c r="FC55" s="149" t="str">
        <f t="shared" si="91"/>
        <v/>
      </c>
      <c r="FD55" s="149" t="str">
        <f t="shared" si="92"/>
        <v/>
      </c>
      <c r="FE55" s="149" t="str">
        <f t="shared" si="92"/>
        <v/>
      </c>
      <c r="FF55" s="149" t="str">
        <f t="shared" si="92"/>
        <v/>
      </c>
      <c r="FG55" s="149" t="str">
        <f t="shared" si="92"/>
        <v/>
      </c>
      <c r="FH55" s="149" t="str">
        <f t="shared" si="92"/>
        <v/>
      </c>
      <c r="FI55" s="149" t="str">
        <f t="shared" si="92"/>
        <v/>
      </c>
      <c r="FJ55" s="149" t="str">
        <f t="shared" si="92"/>
        <v/>
      </c>
      <c r="FK55" s="149" t="str">
        <f t="shared" si="92"/>
        <v/>
      </c>
      <c r="FL55" s="149" t="str">
        <f t="shared" si="92"/>
        <v/>
      </c>
      <c r="FM55" s="149" t="str">
        <f t="shared" si="92"/>
        <v/>
      </c>
      <c r="FN55" s="149" t="str">
        <f t="shared" si="93"/>
        <v/>
      </c>
      <c r="FO55" s="149" t="str">
        <f t="shared" si="93"/>
        <v/>
      </c>
      <c r="FP55" s="149" t="str">
        <f t="shared" si="93"/>
        <v/>
      </c>
      <c r="FQ55" s="149" t="str">
        <f t="shared" si="93"/>
        <v/>
      </c>
      <c r="FR55" s="149" t="str">
        <f t="shared" si="93"/>
        <v/>
      </c>
      <c r="FS55" s="149" t="str">
        <f t="shared" si="93"/>
        <v/>
      </c>
      <c r="FT55" s="149" t="str">
        <f t="shared" si="93"/>
        <v/>
      </c>
      <c r="FU55" s="149" t="str">
        <f t="shared" si="93"/>
        <v/>
      </c>
      <c r="FV55" s="149" t="str">
        <f t="shared" si="93"/>
        <v/>
      </c>
      <c r="FW55" s="149" t="str">
        <f t="shared" si="93"/>
        <v/>
      </c>
      <c r="FX55" s="149" t="str">
        <f t="shared" si="94"/>
        <v/>
      </c>
      <c r="FY55" s="149" t="str">
        <f t="shared" si="94"/>
        <v/>
      </c>
      <c r="FZ55" s="149" t="str">
        <f t="shared" si="94"/>
        <v/>
      </c>
      <c r="GA55" s="149" t="str">
        <f t="shared" si="94"/>
        <v/>
      </c>
      <c r="GB55" s="149" t="str">
        <f t="shared" si="94"/>
        <v/>
      </c>
      <c r="GC55" s="149" t="str">
        <f t="shared" si="94"/>
        <v/>
      </c>
      <c r="GD55" s="149" t="str">
        <f t="shared" si="94"/>
        <v/>
      </c>
      <c r="GE55" s="149" t="str">
        <f t="shared" si="94"/>
        <v/>
      </c>
      <c r="GF55" s="149">
        <f t="shared" si="33"/>
        <v>1</v>
      </c>
      <c r="GG55" s="149">
        <f t="shared" si="22"/>
        <v>0</v>
      </c>
      <c r="GH55" s="149">
        <f t="shared" si="23"/>
        <v>1</v>
      </c>
      <c r="GI55" s="149">
        <f t="shared" si="24"/>
        <v>0</v>
      </c>
      <c r="GJ55" s="149">
        <f t="shared" si="25"/>
        <v>0</v>
      </c>
      <c r="GK55" s="149">
        <f t="shared" si="34"/>
        <v>2</v>
      </c>
      <c r="GL55" s="149">
        <f t="shared" si="15"/>
        <v>50</v>
      </c>
      <c r="GM55" s="149">
        <f t="shared" si="16"/>
        <v>0</v>
      </c>
      <c r="GN55" s="149">
        <f t="shared" si="17"/>
        <v>50</v>
      </c>
      <c r="GO55" s="149">
        <f t="shared" si="18"/>
        <v>0</v>
      </c>
      <c r="GP55" s="149">
        <f t="shared" si="19"/>
        <v>0</v>
      </c>
      <c r="GQ55" s="149">
        <f t="shared" si="19"/>
        <v>0</v>
      </c>
      <c r="GR55" s="153">
        <f t="shared" si="124"/>
        <v>100</v>
      </c>
      <c r="GS55" s="149">
        <f t="shared" si="37"/>
        <v>100</v>
      </c>
      <c r="GT55" s="149">
        <f>+IF(OR($A55=52,$A55=124),1,IFERROR(IF($X55="Creciente",IF($AB55="Número",SUM($GL55:GM55)/SUM($DO55:DP55)*($AX55-$AW55),SUM($GL55:GM55)/SUM($DO55:DP55))*($AX55-$AW55),IF($DG55="Creciente",GM55*GM55/GM55,IF(AND($DG55="Constante",$AB55="Porcentaje"),AVERAGEIF($GL55:GM55,"&lt;&gt;0")/AVERAGEIF($DO55:DP55,"&lt;&gt;0")*100,SUM($GL55:GM55)/SUM($DO55:DP55)*$DU55))),GS55))</f>
        <v>100</v>
      </c>
      <c r="GU55" s="149">
        <f>+IF(OR($A55=52,$A55=124),1,IFERROR(IF($X55="Creciente",IF($AB55="Número",SUM($GL55:GN55)/SUM($DO55:DQ55)*($AX55-$AW55),SUM($GL55:GN55)/SUM($DO55:DQ55))*($AX55-$AW55),IF($DG55="Creciente",GN55*GN55/GN55,IF(AND($DG55="Constante",$AB55="Porcentaje"),AVERAGEIF($GL55:GN55,"&lt;&gt;0")/AVERAGEIF($DO55:DQ55,"&lt;&gt;0")*100,SUM($GL55:GN55)/SUM($DO55:DQ55)*$DU55))),GT55))</f>
        <v>100</v>
      </c>
      <c r="GV55" s="149">
        <f>+IF(OR($A55=52,$A55=124),1,IFERROR(IF($X55="Creciente",IF($AB55="Número",SUM($GL55:GO55)/SUM($DO55:DR55)*($AX55-$AW55),SUM($GL55:GO55)/SUM($DO55:DR55))*($AX55-$AW55),IF($DG55="Creciente",GO55*GO55/GO55,IF(AND($DG55="Constante",$AB55="Porcentaje"),AVERAGEIF($GL55:GO55,"&lt;&gt;0")/AVERAGEIF($DO55:DR55,"&lt;&gt;0")*100,SUM($GL55:GO55)/SUM($DO55:DR55)*$DU55))),GU55))</f>
        <v>100</v>
      </c>
      <c r="GW55" s="149">
        <f>+IF(OR($A55=52,$A55=124),1,IFERROR(IF($X55="Creciente",IF($AB55="Número",SUM($GL55:GP55)/SUM($DO55:DS55)*($AX55-$AW55),SUM($GL55:GP55)/SUM($DO55:DS55))*($AX55-$AW55),IF($DG55="Creciente",GP55*GP55/GP55,IF(AND($DG55="Constante",$AB55="Porcentaje"),AVERAGEIF($GL55:GP55,"&lt;&gt;0")/AVERAGEIF($DO55:DS55,"&lt;&gt;0")*100,SUM($GL55:GP55)/SUM($DO55:DS55)*$DU55))),GV55))</f>
        <v>100</v>
      </c>
      <c r="GX55" s="149">
        <f>+IF(OR($A55=52,$A55=124),1,IFERROR(IF($X55="Creciente",IF($AB55="Número",SUM($GL55:GQ55)/SUM($DO55:DT55)*($AX55-$AW55),SUM($GL55:GQ55)/SUM($DO55:DT55))*($AX55-$AW55),IF($DG55="Creciente",GQ55*GQ55/GQ55,IF(AND($DG55="Constante",$AB55="Porcentaje"),AVERAGEIF($GL55:GQ55,"&lt;&gt;0")/AVERAGEIF($DO55:DT55,"&lt;&gt;0")*100,SUM($GL55:GQ55)/SUM($DO55:DT55)*$DU55))),GW55))</f>
        <v>100</v>
      </c>
      <c r="GY55" s="149">
        <f t="shared" si="28"/>
        <v>0</v>
      </c>
      <c r="GZ55" s="149">
        <f t="shared" si="29"/>
        <v>0</v>
      </c>
      <c r="HA55" s="149" t="str">
        <f t="shared" si="30"/>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
      <c r="HB55" s="149" t="str">
        <f t="shared" si="31"/>
        <v xml:space="preserve">Informe de resultados.
</v>
      </c>
      <c r="HC55" s="149" t="str">
        <f t="shared" si="98"/>
        <v>Cumple</v>
      </c>
      <c r="HD55" s="149" t="str">
        <f t="shared" si="98"/>
        <v>Cumplido</v>
      </c>
      <c r="HE55" s="149" t="str">
        <f t="shared" si="98"/>
        <v>Adecuado</v>
      </c>
      <c r="HF55" s="149" t="str">
        <f t="shared" si="98"/>
        <v>Coherente</v>
      </c>
      <c r="HG55" s="149" t="str">
        <f t="shared" si="98"/>
        <v>Concuerda</v>
      </c>
      <c r="HH55" s="149" t="str">
        <f t="shared" si="98"/>
        <v>Concuerda</v>
      </c>
      <c r="HI55" s="149">
        <f t="shared" si="98"/>
        <v>0</v>
      </c>
      <c r="HJ55" s="149" t="str">
        <f t="shared" si="98"/>
        <v>Adecuado</v>
      </c>
      <c r="HK55" s="149" t="str">
        <f t="shared" si="98"/>
        <v>Oportuna</v>
      </c>
      <c r="HL55" s="149" t="str">
        <f t="shared" si="98"/>
        <v>Ninguna</v>
      </c>
      <c r="HM55" s="149" t="str">
        <f t="shared" si="99"/>
        <v>Marcela Andrea García Guerrero</v>
      </c>
      <c r="HN55" s="149" t="str">
        <f t="shared" si="99"/>
        <v>No aplica</v>
      </c>
      <c r="HO55" s="149" t="str">
        <f t="shared" si="99"/>
        <v>No programó</v>
      </c>
      <c r="HP55" s="149" t="str">
        <f t="shared" si="99"/>
        <v>No aplica</v>
      </c>
      <c r="HQ55" s="149" t="str">
        <f t="shared" si="99"/>
        <v>No aplica</v>
      </c>
      <c r="HR55" s="149" t="str">
        <f t="shared" si="99"/>
        <v>No aplica</v>
      </c>
      <c r="HS55" s="149" t="str">
        <f t="shared" si="99"/>
        <v>No aplica</v>
      </c>
      <c r="HT55" s="149">
        <f t="shared" si="99"/>
        <v>0</v>
      </c>
      <c r="HU55" s="149" t="str">
        <f t="shared" si="99"/>
        <v>No aplica</v>
      </c>
      <c r="HV55" s="149" t="str">
        <f t="shared" si="99"/>
        <v>Oportuna</v>
      </c>
      <c r="HW55" s="149" t="str">
        <f t="shared" si="99"/>
        <v>Ninguna</v>
      </c>
      <c r="HX55" s="149" t="str">
        <f t="shared" si="99"/>
        <v>Marcela Andrea García Guerrero</v>
      </c>
    </row>
    <row r="56" spans="1:232" s="149" customFormat="1" x14ac:dyDescent="0.3">
      <c r="A56" s="225">
        <v>90</v>
      </c>
      <c r="B56" s="146" t="s">
        <v>1144</v>
      </c>
      <c r="C56" s="146" t="s">
        <v>1144</v>
      </c>
      <c r="D56" s="146" t="s">
        <v>1144</v>
      </c>
      <c r="E56" s="146" t="s">
        <v>1144</v>
      </c>
      <c r="F56" s="136" t="s">
        <v>1642</v>
      </c>
      <c r="G56" s="146" t="s">
        <v>1144</v>
      </c>
      <c r="H56" s="146" t="s">
        <v>1144</v>
      </c>
      <c r="I56" s="149" t="s">
        <v>1146</v>
      </c>
      <c r="J56" s="154" t="s">
        <v>122</v>
      </c>
      <c r="K56" s="154" t="s">
        <v>123</v>
      </c>
      <c r="L56" s="154" t="s">
        <v>1643</v>
      </c>
      <c r="M56" s="154" t="s">
        <v>1201</v>
      </c>
      <c r="N56" s="154" t="s">
        <v>1202</v>
      </c>
      <c r="O56" s="154" t="s">
        <v>1644</v>
      </c>
      <c r="P56" s="148" t="s">
        <v>1642</v>
      </c>
      <c r="Q56" s="154" t="s">
        <v>1645</v>
      </c>
      <c r="R56" s="154" t="s">
        <v>1646</v>
      </c>
      <c r="S56" s="154" t="s">
        <v>1647</v>
      </c>
      <c r="T56" s="154" t="s">
        <v>1648</v>
      </c>
      <c r="U56" s="154" t="s">
        <v>1649</v>
      </c>
      <c r="V56" s="154" t="s">
        <v>1650</v>
      </c>
      <c r="W56" s="148" t="s">
        <v>601</v>
      </c>
      <c r="X56" s="154" t="s">
        <v>601</v>
      </c>
      <c r="Y56" s="154" t="s">
        <v>1651</v>
      </c>
      <c r="Z56" s="154" t="s">
        <v>1652</v>
      </c>
      <c r="AA56" s="154" t="s">
        <v>1653</v>
      </c>
      <c r="AB56" s="154" t="s">
        <v>602</v>
      </c>
      <c r="AC56" s="154" t="s">
        <v>1271</v>
      </c>
      <c r="AD56" s="154" t="s">
        <v>1160</v>
      </c>
      <c r="AE56" s="154">
        <v>2018</v>
      </c>
      <c r="AF56" s="154">
        <v>0</v>
      </c>
      <c r="AG56" s="154">
        <v>2018</v>
      </c>
      <c r="AH56" s="154">
        <v>0</v>
      </c>
      <c r="AI56" s="154">
        <v>0</v>
      </c>
      <c r="AJ56" s="154">
        <v>1</v>
      </c>
      <c r="AK56" s="154">
        <v>1</v>
      </c>
      <c r="AL56" s="226">
        <v>1</v>
      </c>
      <c r="AM56" s="154">
        <v>0</v>
      </c>
      <c r="AN56" s="146" t="s">
        <v>1144</v>
      </c>
      <c r="AO56" s="146" t="s">
        <v>1144</v>
      </c>
      <c r="AP56" s="146" t="s">
        <v>1144</v>
      </c>
      <c r="AQ56" s="146" t="s">
        <v>1144</v>
      </c>
      <c r="AR56" s="146" t="s">
        <v>1144</v>
      </c>
      <c r="AS56" s="150" t="s">
        <v>1144</v>
      </c>
      <c r="AT56" s="232">
        <v>0</v>
      </c>
      <c r="AU56" s="232">
        <v>0</v>
      </c>
      <c r="AV56" s="232">
        <v>100</v>
      </c>
      <c r="AW56" s="232">
        <v>100</v>
      </c>
      <c r="AX56" s="211">
        <v>100</v>
      </c>
      <c r="AY56" s="232">
        <v>0</v>
      </c>
      <c r="BD56" s="149">
        <v>0</v>
      </c>
      <c r="BJ56" s="149">
        <v>0</v>
      </c>
      <c r="BK56" s="146" t="s">
        <v>1144</v>
      </c>
      <c r="BL56" s="146" t="s">
        <v>1144</v>
      </c>
      <c r="BM56" s="146" t="s">
        <v>1144</v>
      </c>
      <c r="BN56" s="146" t="s">
        <v>1144</v>
      </c>
      <c r="BO56" s="146" t="s">
        <v>1144</v>
      </c>
      <c r="BP56" s="146" t="s">
        <v>1144</v>
      </c>
      <c r="BQ56" s="146" t="s">
        <v>1144</v>
      </c>
      <c r="BR56" s="146" t="s">
        <v>1144</v>
      </c>
      <c r="BS56" s="146" t="s">
        <v>1144</v>
      </c>
      <c r="BT56" s="146" t="s">
        <v>1144</v>
      </c>
      <c r="BU56" s="146" t="s">
        <v>1144</v>
      </c>
      <c r="BV56" s="146" t="s">
        <v>1144</v>
      </c>
      <c r="BW56" s="154" t="s">
        <v>1144</v>
      </c>
      <c r="BX56" s="154" t="s">
        <v>1144</v>
      </c>
      <c r="BY56" s="154" t="s">
        <v>1144</v>
      </c>
      <c r="BZ56" s="154">
        <v>1</v>
      </c>
      <c r="CA56" s="154" t="s">
        <v>1144</v>
      </c>
      <c r="CB56" s="154" t="s">
        <v>1144</v>
      </c>
      <c r="CC56" s="154" t="s">
        <v>1144</v>
      </c>
      <c r="CD56" s="219">
        <v>1</v>
      </c>
      <c r="CE56" s="219" t="s">
        <v>289</v>
      </c>
      <c r="CF56" s="154" t="s">
        <v>1144</v>
      </c>
      <c r="CG56" s="154" t="s">
        <v>1144</v>
      </c>
      <c r="CH56" s="154" t="s">
        <v>1144</v>
      </c>
      <c r="CI56" s="154" t="s">
        <v>1144</v>
      </c>
      <c r="CJ56" s="154" t="s">
        <v>1144</v>
      </c>
      <c r="CK56" s="154" t="s">
        <v>1144</v>
      </c>
      <c r="CL56" s="154" t="s">
        <v>1144</v>
      </c>
      <c r="CM56" s="154" t="s">
        <v>1144</v>
      </c>
      <c r="CN56" s="154" t="s">
        <v>1144</v>
      </c>
      <c r="CO56" s="154" t="s">
        <v>1144</v>
      </c>
      <c r="CP56" s="154" t="s">
        <v>1144</v>
      </c>
      <c r="CQ56" s="154" t="s">
        <v>1144</v>
      </c>
      <c r="CR56" s="154" t="s">
        <v>1144</v>
      </c>
      <c r="CS56" s="154" t="s">
        <v>1144</v>
      </c>
      <c r="CT56" s="154" t="s">
        <v>1144</v>
      </c>
      <c r="CU56" s="154" t="s">
        <v>1144</v>
      </c>
      <c r="CV56" s="154" t="s">
        <v>1144</v>
      </c>
      <c r="CW56" s="154" t="s">
        <v>1144</v>
      </c>
      <c r="CX56" s="154" t="s">
        <v>1144</v>
      </c>
      <c r="CY56" s="154" t="s">
        <v>1144</v>
      </c>
      <c r="CZ56" s="154" t="s">
        <v>1144</v>
      </c>
      <c r="DA56" s="154" t="s">
        <v>1144</v>
      </c>
      <c r="DB56" s="152" t="str">
        <f t="shared" si="32"/>
        <v xml:space="preserve">Plan de Acción, SGC, PROCESO: Contratación, </v>
      </c>
      <c r="DC56" s="149" t="str">
        <f t="shared" si="88"/>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
      <c r="DD56" s="149" t="str">
        <f t="shared" si="88"/>
        <v>• Revisar, analizar y presentar la ejecución presupuestal de la Secretaría General.</v>
      </c>
      <c r="DE56" s="149" t="str">
        <f t="shared" si="88"/>
        <v>Facilita la toma de decisiones oportunas con base en el estado de la ejecución del Plan Anual de Adquisiciones, con el fin de optimizar la ejecución presupuestal de la vigencia.</v>
      </c>
      <c r="DF56" s="149" t="str">
        <f t="shared" si="88"/>
        <v>Presentacion Ejecución Presupuestal
Matriz Seguimiento PAA</v>
      </c>
      <c r="DG56" s="149" t="str">
        <f t="shared" si="88"/>
        <v>Constante</v>
      </c>
      <c r="DH56" s="149" t="str">
        <f t="shared" si="2"/>
        <v/>
      </c>
      <c r="DI56" s="149">
        <f t="shared" si="3"/>
        <v>100</v>
      </c>
      <c r="DJ56" s="149">
        <f t="shared" si="4"/>
        <v>100</v>
      </c>
      <c r="DK56" s="149">
        <f t="shared" si="5"/>
        <v>100</v>
      </c>
      <c r="DL56" s="149">
        <f t="shared" si="6"/>
        <v>100</v>
      </c>
      <c r="DM56" s="149">
        <f t="shared" si="7"/>
        <v>100</v>
      </c>
      <c r="DN56" s="149">
        <f t="shared" si="126"/>
        <v>100</v>
      </c>
      <c r="DO56" s="149">
        <f t="shared" si="100"/>
        <v>100</v>
      </c>
      <c r="DP56" s="149">
        <f t="shared" si="100"/>
        <v>100</v>
      </c>
      <c r="DQ56" s="149">
        <f t="shared" si="100"/>
        <v>100</v>
      </c>
      <c r="DR56" s="149">
        <f t="shared" si="100"/>
        <v>100</v>
      </c>
      <c r="DS56" s="149">
        <f t="shared" si="100"/>
        <v>100</v>
      </c>
      <c r="DT56" s="149">
        <f t="shared" si="100"/>
        <v>100</v>
      </c>
      <c r="DU56" s="149">
        <f t="shared" si="89"/>
        <v>100</v>
      </c>
      <c r="DV56" s="149">
        <f t="shared" si="89"/>
        <v>1</v>
      </c>
      <c r="DW56" s="149">
        <f t="shared" si="89"/>
        <v>1</v>
      </c>
      <c r="DX56" s="149" t="str">
        <f t="shared" si="89"/>
        <v>Enero:
Para el mes de enero de 2020 la Secretaría General de la Alcaldía Mayor de Bogotá D.C. tenía un presupuesto disponible de $96.610.625.000 en gastos de funcionamiento y $ 107.707.652.000 en Inversión. De los cuales se ejecutaron para el cierre de ese mes un total de $ 7.773.036.854,00 (8,0%) en funcionamiento y $ 8.940.204.380 (8,3%) en inversión. Lo anterior, teniendo en cuenta que para dicho mes se gestionaron un total de 160 líneas del Plan Anual de Adquisiciones, de las cuales 153 corresponden a contratos de prestación de servicios profesionales o de apoyo a la gestión, 4 contratos de arrendamiento, 2 convenios interadministrativos y la suscripción de una orden de compra. De acuerdo con lo expuesto se cumplió con las necesidades de contratación de las dependencias que en principio consistía en la contratación de servicios con personas naturales para el logro de los objetivos de la Entidad y la consecución de los proyectos de cada dependencia.</v>
      </c>
      <c r="DY56" s="149" t="str">
        <f t="shared" si="89"/>
        <v>No se presentaron dificultades en el seguimiento a la
ejecución del PAA 2020  y de la ejecución presupuestal</v>
      </c>
      <c r="DZ56" s="149" t="str">
        <f t="shared" si="89"/>
        <v>Se logró ejecutar el PAA 2020 de acuerdo a lo planeado, lo cual facilitó el inicio de operaciones de la vigencia sin contratiempos.</v>
      </c>
      <c r="EA56" s="149">
        <f t="shared" si="89"/>
        <v>1</v>
      </c>
      <c r="EB56" s="149">
        <f t="shared" si="89"/>
        <v>1</v>
      </c>
      <c r="EC56" s="149" t="str">
        <f t="shared" si="89"/>
        <v>Febrero:
Durante el mes de febrero se suscribieron un total de 194 contratos, entre los cuales 184 corresponden a contratos de prestación de servicios profesionales o de apoyo a la gestión, 6 contratos de arrendamiento, 1 contrato interadministrativo, 6 contratos de arrendamiento, 2 contrataciones con distribuidor exclusivo y la suscripción de 1 orden de compra. Por lo que, sumado a lo contratado en el mes de enero genera una importante ejecución presupuestal que para el mes es en gastos de inversión represento un total de $20.090.446.378 (20,8%) y $8.704.537.820 (17,4%) en gastos de funcionamiento. De acuerdo con lo señalado, en el mes de febrero se cumplió con lo programado, observando que la contratación de prestación de servicios con personas naturales continúo siendo una de las más representativas para este mes de acuerdo con las necesidades de la Entidad.</v>
      </c>
      <c r="ED56" s="149" t="str">
        <f t="shared" si="89"/>
        <v>No se presentaron dificultades en el seguimiento a la
ejecución del PAA 2020  y de la ejecución presupuestal</v>
      </c>
      <c r="EE56" s="149" t="str">
        <f t="shared" si="90"/>
        <v>Se logró ejecutar el PAA 2020 de acuerdo a lo planeado, lo cual facilitó el inicio de operaciones de la vigencia sin contratiempos.</v>
      </c>
      <c r="EF56" s="149">
        <f t="shared" si="90"/>
        <v>1</v>
      </c>
      <c r="EG56" s="149">
        <f t="shared" si="90"/>
        <v>1</v>
      </c>
      <c r="EH56" s="149" t="str">
        <f t="shared" si="90"/>
        <v>Marzo: 
En el mes de marzo se presenta la gestión de 60 líneas del Plan Anual de Adquisiciones representadas en 53 contratos de prestación de servicios profesionales o de apoyo a la gestión, 2 contratos de arrendamiento,1 donación,1 proceso por la modalidad de mínima cuantía, la suscripción de 1 contrato bajo el Decreto 092 de 2017 y la suscripción de una orden de compra. Lo anterior obedece a que las dependencias se encontraban estructurando los procesos de selección que al mes de marzo no habían radicado. Razón por la cual se inició con mesas de trabajo con todas las áreas en donde se realizó el monitoreo frente a la fecha posible de radicación de los procesos en la Dirección de Contratación a fin de generar alertas tempranas para las dependencias y el acompañamiento a las mismas, principalmente en la revisión del análisis del sector y diferentes aspectos técnicos necesarios para garantizar la pluralidad en los procesos. No obstante, la ejecución presupuestal es óptima para el mes de marzo, representada en $32.694.375.814 (33,8%) en gastos de funcionamiento y $ 27.330.414.312 (25,4%) en inversión.</v>
      </c>
      <c r="EI56" s="149" t="str">
        <f t="shared" si="90"/>
        <v>No se presentaron dificultades en el seguimiento a la
ejecución del PAA 2020  y de la ejecución presupuestal</v>
      </c>
      <c r="EJ56" s="149" t="str">
        <f t="shared" si="90"/>
        <v>Se logró ejecutar el PAA 2020 de acuerdo con lo planeado a pesar de la contingencia derivada por el covid, lo que permitió que las dependencias pudieran satisfacer las necesidades urgentes para el logro de los objetivos institucionales</v>
      </c>
      <c r="EK56" s="149">
        <f t="shared" si="90"/>
        <v>1</v>
      </c>
      <c r="EL56" s="149">
        <f t="shared" si="90"/>
        <v>1</v>
      </c>
      <c r="EM56" s="149" t="str">
        <f t="shared" si="90"/>
        <v>Abril
En el mes de abril, se presenta la gestión de 56 líneas del Plan Anual de Adquisiciones representadas en 46 contratos de prestación de servicios profesionales o de apoyo a la gestión, 1 contrato de arrendamiento, 1 Convenio Interadministrativo, 1contrato interadministrativo, 3 procesos en la modalidad de mínima cuantía, 2 subastas inversas Electrónicas, y 1 menor cuantía. Dicho decrecimiento en el número de solicitudes contractuales se debió principalmente al confinamiento obligatorio derivado del estado de emergencia por la pandemia de COVID-19 y la imposibilidad para varias dependencias en adelantar estudios de mercado pues los sectores económicos se encontraban cerrados. No obstante, se buscaron mecanismos para continuar con la programación inicial del Plan Anual de Adquisiciones y se establecieron procedimientos para acompañar a las dependencias de manera remota. No obstante, a la contingencia en el mes se observa un comportamiento optimo en la ejecución presupuestal siendo para los gastos de funcionamiento de $38.302.590.718 (39,6%) y $36.189.502.989 (33,6%) en gastos de inversión.</v>
      </c>
      <c r="EN56" s="149" t="str">
        <f t="shared" si="90"/>
        <v>No se presentaron dificultades en el seguimiento a la
ejecución del PAA 2020  y de la ejecución presupuestal</v>
      </c>
      <c r="EO56" s="149" t="str">
        <f t="shared" si="91"/>
        <v>Se logró ejecutar el PAA 2020 de acuerdo con lo planeado a pesar de la contingencia derivada por el covid, lo que permitió que las dependencias pudieran satisfacer las necesidades urgentes para el logro de los objetivos institucionales</v>
      </c>
      <c r="EP56" s="149">
        <f t="shared" si="91"/>
        <v>1</v>
      </c>
      <c r="EQ56" s="149">
        <f t="shared" si="91"/>
        <v>1</v>
      </c>
      <c r="ER56" s="149" t="str">
        <f t="shared" si="91"/>
        <v xml:space="preserve">Mayo
Para el mes de mayo se observa la gestión de 59 líneas del Plan Anual de Adquisiciones representadas en 59 contratos de prestación de servicios profesionales o de apoyo a la gestión, 1 Concurso de méritos, 1 directa por exclusividad, 1 donación,1 selección abreviada por literal h, 5 procesos en la modalidad de mínima cuantía y 11 órdenes de compra suscritas. Lo anterior, resulta de una gestión juiciosa de las dependencias a pesar de la contingencia generada en el mes de marzo con respecto a la pandemia. Se observa, la gestión de varios procesos de selección que fueron adjudicados en el mes de mayo y la gestión eficiente de las solicitudes de contratación que fueron radicadas en la Dirección de Contratación. En cuanto al comportamiento de ala ejecución presupuestal se observa que durante el mes de mayo se produjo una modificación presupuestal por recortes derivados de la pandemia, siendo el nuevo presupuesto de inversión de                          $99.564.019.024 y $94.884.732.429 por funcionamiento, en donde la ejecución fue de $45.971.090.419 (46,2%) y  $36.189.502.989 (38.1%) respectivamente.
</v>
      </c>
      <c r="ES56" s="149" t="str">
        <f t="shared" si="91"/>
        <v>No se presentaron dificultades en el seguimiento a la
ejecución del PAA 2020  y de la ejecución presupuestal</v>
      </c>
      <c r="ET56" s="149" t="str">
        <f t="shared" si="91"/>
        <v>Se logró ejecutar el PAA 2020 de acuerdo con lo planeado a pesar de la contingencia derivada por el covid, lo que permitió que las dependencias pudieran satisfacer las necesidades urgentes para el logro de los objetivos institucionales</v>
      </c>
      <c r="EU56" s="149">
        <f t="shared" si="125"/>
        <v>1</v>
      </c>
      <c r="EV56" s="149">
        <f t="shared" si="125"/>
        <v>1</v>
      </c>
      <c r="EW56" s="149" t="str">
        <f t="shared" si="125"/>
        <v>Junio
Para el mes de junio se observa la gestión de 13 líneas del Plan Anual de Adquisiciones representadas en 7 procesos adelantados por medio de contratación directa, 1 Concurso de méritos, 1 licitación pública, 1 proceso en la modalidad de mínima cuantía y 3 subastas inversas electrónicas. Lo anterior, teniendo en cuenta que durante el mes de junio de 2020 la entidad se encontraba en proceso de armonización presupuestal y por lo tanto los procesos que serían adelantados con recursos de inversión quedaron suspendidos. Por lo anterior la gestión en materia contractual se centro en la ejecución de contratos generados por gastos de funcionamiento. En cuanto al comportamiento de la ejecución presupuestal se observa que durante el mes de junio había disponible $194.448.751.453 distribuidos en $94.884.732.429 correspondientes a gastos de funcionamiento y $99.564.019.024 que hacen parte del presupuesto de inversión,  de los cuales se observa una ejecución  de $55.877.137.402 (58,89%)  y $45.924.060.919 ( 46,13%) respectivamente, observando que para el mes de junio la entidad en total contaba con compromisos acumulados tanto en gasto de funcionamiento como de inversión en el orden de  $101.801.198.321 correspondiente  a una ejecución presupuestal del 52.35%.</v>
      </c>
      <c r="EX56" s="149" t="str">
        <f t="shared" si="125"/>
        <v>No se presentaron dificultades en el seguimiento a la
ejecución del PAA 2020  y de la ejecución presupuestal</v>
      </c>
      <c r="EY56" s="149" t="str">
        <f t="shared" si="125"/>
        <v>Se logró ejecutar el PAA 2020 de acuerdo con lo planeado, lo que permitió que las dependencias pudieran satisfacer las necesidades  para el logro de los objetivos institucionales</v>
      </c>
      <c r="EZ56" s="149">
        <f t="shared" si="91"/>
        <v>6</v>
      </c>
      <c r="FA56" s="149">
        <f t="shared" si="91"/>
        <v>6</v>
      </c>
      <c r="FB56" s="149" t="str">
        <f t="shared" si="91"/>
        <v/>
      </c>
      <c r="FC56" s="149" t="str">
        <f t="shared" si="91"/>
        <v/>
      </c>
      <c r="FD56" s="149" t="str">
        <f t="shared" si="92"/>
        <v/>
      </c>
      <c r="FE56" s="149" t="str">
        <f t="shared" si="92"/>
        <v/>
      </c>
      <c r="FF56" s="149" t="str">
        <f t="shared" si="92"/>
        <v/>
      </c>
      <c r="FG56" s="149" t="str">
        <f t="shared" si="92"/>
        <v/>
      </c>
      <c r="FH56" s="149" t="str">
        <f t="shared" si="92"/>
        <v/>
      </c>
      <c r="FI56" s="149" t="str">
        <f t="shared" si="92"/>
        <v/>
      </c>
      <c r="FJ56" s="149" t="str">
        <f t="shared" si="92"/>
        <v/>
      </c>
      <c r="FK56" s="149" t="str">
        <f t="shared" si="92"/>
        <v/>
      </c>
      <c r="FL56" s="149" t="str">
        <f t="shared" si="92"/>
        <v/>
      </c>
      <c r="FM56" s="149" t="str">
        <f t="shared" si="92"/>
        <v/>
      </c>
      <c r="FN56" s="149" t="str">
        <f t="shared" si="93"/>
        <v/>
      </c>
      <c r="FO56" s="149" t="str">
        <f t="shared" si="93"/>
        <v/>
      </c>
      <c r="FP56" s="149" t="str">
        <f t="shared" si="93"/>
        <v/>
      </c>
      <c r="FQ56" s="149" t="str">
        <f t="shared" si="93"/>
        <v/>
      </c>
      <c r="FR56" s="149" t="str">
        <f t="shared" si="93"/>
        <v/>
      </c>
      <c r="FS56" s="149" t="str">
        <f t="shared" si="93"/>
        <v/>
      </c>
      <c r="FT56" s="149" t="str">
        <f t="shared" si="93"/>
        <v/>
      </c>
      <c r="FU56" s="149" t="str">
        <f t="shared" si="93"/>
        <v/>
      </c>
      <c r="FV56" s="149" t="str">
        <f t="shared" si="93"/>
        <v/>
      </c>
      <c r="FW56" s="149" t="str">
        <f t="shared" si="93"/>
        <v/>
      </c>
      <c r="FX56" s="149" t="str">
        <f t="shared" si="94"/>
        <v/>
      </c>
      <c r="FY56" s="149" t="str">
        <f t="shared" si="94"/>
        <v/>
      </c>
      <c r="FZ56" s="149" t="str">
        <f t="shared" si="94"/>
        <v/>
      </c>
      <c r="GA56" s="149" t="str">
        <f t="shared" si="94"/>
        <v/>
      </c>
      <c r="GB56" s="149" t="str">
        <f t="shared" si="94"/>
        <v/>
      </c>
      <c r="GC56" s="149" t="str">
        <f t="shared" si="94"/>
        <v/>
      </c>
      <c r="GD56" s="149" t="str">
        <f t="shared" si="94"/>
        <v/>
      </c>
      <c r="GE56" s="149" t="str">
        <f t="shared" si="94"/>
        <v/>
      </c>
      <c r="GF56" s="149">
        <f t="shared" si="33"/>
        <v>1</v>
      </c>
      <c r="GG56" s="149">
        <f t="shared" si="22"/>
        <v>1</v>
      </c>
      <c r="GH56" s="149">
        <f t="shared" si="23"/>
        <v>1</v>
      </c>
      <c r="GI56" s="149">
        <f t="shared" si="24"/>
        <v>1</v>
      </c>
      <c r="GJ56" s="149">
        <f t="shared" si="25"/>
        <v>1</v>
      </c>
      <c r="GK56" s="149">
        <f t="shared" si="34"/>
        <v>1</v>
      </c>
      <c r="GL56" s="149">
        <f t="shared" si="15"/>
        <v>100</v>
      </c>
      <c r="GM56" s="149">
        <f t="shared" si="16"/>
        <v>100</v>
      </c>
      <c r="GN56" s="149">
        <f t="shared" si="17"/>
        <v>100</v>
      </c>
      <c r="GO56" s="149">
        <f t="shared" si="18"/>
        <v>100</v>
      </c>
      <c r="GP56" s="149">
        <f t="shared" si="19"/>
        <v>100</v>
      </c>
      <c r="GQ56" s="149">
        <f t="shared" si="19"/>
        <v>100</v>
      </c>
      <c r="GR56" s="153">
        <f t="shared" si="124"/>
        <v>100</v>
      </c>
      <c r="GS56" s="149">
        <f t="shared" si="37"/>
        <v>100</v>
      </c>
      <c r="GT56" s="149">
        <f>+IF(OR($A56=52,$A56=124),1,IFERROR(IF($X56="Creciente",IF($AB56="Número",SUM($GL56:GM56)/SUM($DO56:DP56)*($AX56-$AW56),SUM($GL56:GM56)/SUM($DO56:DP56))*($AX56-$AW56),IF($DG56="Creciente",GM56*GM56/GM56,IF(AND($DG56="Constante",$AB56="Porcentaje"),AVERAGEIF($GL56:GM56,"&lt;&gt;0")/AVERAGEIF($DO56:DP56,"&lt;&gt;0")*100,SUM($GL56:GM56)/SUM($DO56:DP56)*$DU56))),GS56))</f>
        <v>100</v>
      </c>
      <c r="GU56" s="149">
        <f>+IF(OR($A56=52,$A56=124),1,IFERROR(IF($X56="Creciente",IF($AB56="Número",SUM($GL56:GN56)/SUM($DO56:DQ56)*($AX56-$AW56),SUM($GL56:GN56)/SUM($DO56:DQ56))*($AX56-$AW56),IF($DG56="Creciente",GN56*GN56/GN56,IF(AND($DG56="Constante",$AB56="Porcentaje"),AVERAGEIF($GL56:GN56,"&lt;&gt;0")/AVERAGEIF($DO56:DQ56,"&lt;&gt;0")*100,SUM($GL56:GN56)/SUM($DO56:DQ56)*$DU56))),GT56))</f>
        <v>100</v>
      </c>
      <c r="GV56" s="149">
        <f>+IF(OR($A56=52,$A56=124),1,IFERROR(IF($X56="Creciente",IF($AB56="Número",SUM($GL56:GO56)/SUM($DO56:DR56)*($AX56-$AW56),SUM($GL56:GO56)/SUM($DO56:DR56))*($AX56-$AW56),IF($DG56="Creciente",GO56*GO56/GO56,IF(AND($DG56="Constante",$AB56="Porcentaje"),AVERAGEIF($GL56:GO56,"&lt;&gt;0")/AVERAGEIF($DO56:DR56,"&lt;&gt;0")*100,SUM($GL56:GO56)/SUM($DO56:DR56)*$DU56))),GU56))</f>
        <v>100</v>
      </c>
      <c r="GW56" s="149">
        <f>+IF(OR($A56=52,$A56=124),1,IFERROR(IF($X56="Creciente",IF($AB56="Número",SUM($GL56:GP56)/SUM($DO56:DS56)*($AX56-$AW56),SUM($GL56:GP56)/SUM($DO56:DS56))*($AX56-$AW56),IF($DG56="Creciente",GP56*GP56/GP56,IF(AND($DG56="Constante",$AB56="Porcentaje"),AVERAGEIF($GL56:GP56,"&lt;&gt;0")/AVERAGEIF($DO56:DS56,"&lt;&gt;0")*100,SUM($GL56:GP56)/SUM($DO56:DS56)*$DU56))),GV56))</f>
        <v>100</v>
      </c>
      <c r="GX56" s="149">
        <f>+IF(OR($A56=52,$A56=124),1,IFERROR(IF($X56="Creciente",IF($AB56="Número",SUM($GL56:GQ56)/SUM($DO56:DT56)*($AX56-$AW56),SUM($GL56:GQ56)/SUM($DO56:DT56))*($AX56-$AW56),IF($DG56="Creciente",GQ56*GQ56/GQ56,IF(AND($DG56="Constante",$AB56="Porcentaje"),AVERAGEIF($GL56:GQ56,"&lt;&gt;0")/AVERAGEIF($DO56:DT56,"&lt;&gt;0")*100,SUM($GL56:GQ56)/SUM($DO56:DT56)*$DU56))),GW56))</f>
        <v>100</v>
      </c>
      <c r="GY56" s="149" t="str">
        <f t="shared" si="28"/>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
      <c r="GZ56" s="149" t="str">
        <f t="shared" si="29"/>
        <v>• Revisar, analizar y presentar la ejecución presupuestal de la Secretaría General.</v>
      </c>
      <c r="HA56" s="149" t="str">
        <f t="shared" si="30"/>
        <v>Facilita la toma de decisiones oportunas con base en el estado de la ejecución del Plan Anual de Adquisiciones, con el fin de optimizar la ejecución presupuestal de la vigencia.</v>
      </c>
      <c r="HB56" s="149" t="str">
        <f t="shared" si="31"/>
        <v>Presentacion Ejecución Presupuestal
Matriz Seguimiento PAA</v>
      </c>
      <c r="HC56" s="149" t="str">
        <f t="shared" ref="HC56:HL69" si="127">+VLOOKUP($A56,consolidado,MATCH(HC$5,consolidadofila,0),0)</f>
        <v>No aplica</v>
      </c>
      <c r="HD56" s="149" t="str">
        <f t="shared" si="127"/>
        <v>Cumplido</v>
      </c>
      <c r="HE56" s="149" t="str">
        <f t="shared" si="127"/>
        <v>Adecuado</v>
      </c>
      <c r="HF56" s="149" t="str">
        <f t="shared" si="127"/>
        <v>Coherente</v>
      </c>
      <c r="HG56" s="149" t="str">
        <f t="shared" si="127"/>
        <v>Concuerda</v>
      </c>
      <c r="HH56" s="149" t="str">
        <f t="shared" si="127"/>
        <v>No aplica</v>
      </c>
      <c r="HI56" s="149" t="str">
        <f t="shared" si="127"/>
        <v>Relación directa</v>
      </c>
      <c r="HJ56" s="149" t="str">
        <f t="shared" si="127"/>
        <v>Adecuado</v>
      </c>
      <c r="HK56" s="149" t="str">
        <f t="shared" si="127"/>
        <v>Oportuna</v>
      </c>
      <c r="HL56" s="149" t="str">
        <f t="shared" si="127"/>
        <v>No aplica</v>
      </c>
      <c r="HM56" s="149" t="str">
        <f t="shared" ref="HM56:HX69" si="128">+VLOOKUP($A56,consolidado,MATCH(HM$5,consolidadofila,0),0)</f>
        <v>Bibiana Rodríguez González</v>
      </c>
      <c r="HN56" s="149" t="str">
        <f t="shared" si="128"/>
        <v>No aplica</v>
      </c>
      <c r="HO56" s="149" t="str">
        <f t="shared" si="128"/>
        <v>Cumplido</v>
      </c>
      <c r="HP56" s="149" t="str">
        <f t="shared" si="128"/>
        <v>Adecuado</v>
      </c>
      <c r="HQ56" s="149" t="str">
        <f t="shared" si="128"/>
        <v>Coherente</v>
      </c>
      <c r="HR56" s="149" t="str">
        <f t="shared" si="128"/>
        <v>Concuerda</v>
      </c>
      <c r="HS56" s="149" t="str">
        <f t="shared" si="128"/>
        <v>No aplica</v>
      </c>
      <c r="HT56" s="149" t="str">
        <f t="shared" si="128"/>
        <v>Relación directa</v>
      </c>
      <c r="HU56" s="149" t="str">
        <f t="shared" si="128"/>
        <v>Adecuado</v>
      </c>
      <c r="HV56" s="149" t="str">
        <f t="shared" si="128"/>
        <v>Oportuna</v>
      </c>
      <c r="HW56" s="149" t="str">
        <f t="shared" si="128"/>
        <v>No aplica</v>
      </c>
      <c r="HX56" s="149" t="str">
        <f t="shared" si="128"/>
        <v>Bibiana Rodríguez González</v>
      </c>
    </row>
    <row r="57" spans="1:232" s="149" customFormat="1" x14ac:dyDescent="0.3">
      <c r="A57" s="225">
        <v>101</v>
      </c>
      <c r="B57" s="146" t="s">
        <v>1144</v>
      </c>
      <c r="C57" s="146" t="s">
        <v>1144</v>
      </c>
      <c r="D57" s="146" t="s">
        <v>1144</v>
      </c>
      <c r="E57" s="146" t="s">
        <v>1144</v>
      </c>
      <c r="F57" s="136" t="s">
        <v>1654</v>
      </c>
      <c r="G57" s="146" t="s">
        <v>1144</v>
      </c>
      <c r="H57" s="146" t="s">
        <v>1144</v>
      </c>
      <c r="I57" s="149" t="s">
        <v>1146</v>
      </c>
      <c r="J57" s="154" t="s">
        <v>195</v>
      </c>
      <c r="K57" s="154" t="s">
        <v>196</v>
      </c>
      <c r="L57" s="154" t="s">
        <v>197</v>
      </c>
      <c r="M57" s="154" t="s">
        <v>1413</v>
      </c>
      <c r="N57" s="154" t="s">
        <v>1655</v>
      </c>
      <c r="O57" s="154" t="s">
        <v>1656</v>
      </c>
      <c r="P57" s="148" t="s">
        <v>1654</v>
      </c>
      <c r="Q57" s="154" t="s">
        <v>1657</v>
      </c>
      <c r="R57" s="154" t="s">
        <v>1658</v>
      </c>
      <c r="S57" s="154" t="s">
        <v>1659</v>
      </c>
      <c r="T57" s="154" t="s">
        <v>1660</v>
      </c>
      <c r="U57" s="154" t="s">
        <v>1661</v>
      </c>
      <c r="V57" s="154" t="s">
        <v>1662</v>
      </c>
      <c r="W57" s="148" t="s">
        <v>601</v>
      </c>
      <c r="X57" s="154" t="s">
        <v>601</v>
      </c>
      <c r="Y57" s="154" t="s">
        <v>1663</v>
      </c>
      <c r="Z57" s="154" t="s">
        <v>1664</v>
      </c>
      <c r="AA57" s="154" t="s">
        <v>1665</v>
      </c>
      <c r="AB57" s="154" t="s">
        <v>602</v>
      </c>
      <c r="AC57" s="154" t="s">
        <v>1271</v>
      </c>
      <c r="AD57" s="154" t="s">
        <v>1031</v>
      </c>
      <c r="AE57" s="154">
        <v>2016</v>
      </c>
      <c r="AF57" s="154">
        <v>0</v>
      </c>
      <c r="AG57" s="154">
        <v>2016</v>
      </c>
      <c r="AH57" s="154">
        <v>0</v>
      </c>
      <c r="AI57" s="154">
        <v>1</v>
      </c>
      <c r="AJ57" s="154">
        <v>1</v>
      </c>
      <c r="AK57" s="154">
        <v>1</v>
      </c>
      <c r="AL57" s="217">
        <v>1</v>
      </c>
      <c r="AM57" s="154">
        <v>0</v>
      </c>
      <c r="AN57" s="146" t="s">
        <v>1144</v>
      </c>
      <c r="AO57" s="146" t="s">
        <v>1144</v>
      </c>
      <c r="AP57" s="146" t="s">
        <v>1144</v>
      </c>
      <c r="AQ57" s="146" t="s">
        <v>1144</v>
      </c>
      <c r="AR57" s="146" t="s">
        <v>1144</v>
      </c>
      <c r="AS57" s="150" t="s">
        <v>1144</v>
      </c>
      <c r="AT57" s="232">
        <v>0</v>
      </c>
      <c r="AU57" s="232">
        <v>100</v>
      </c>
      <c r="AV57" s="232">
        <v>100</v>
      </c>
      <c r="AW57" s="232">
        <v>100</v>
      </c>
      <c r="AX57" s="211">
        <v>100</v>
      </c>
      <c r="AY57" s="232">
        <v>0</v>
      </c>
      <c r="BD57" s="149">
        <v>0</v>
      </c>
      <c r="BJ57" s="149">
        <v>0</v>
      </c>
      <c r="BK57" s="146" t="s">
        <v>1144</v>
      </c>
      <c r="BL57" s="146" t="s">
        <v>1144</v>
      </c>
      <c r="BM57" s="146" t="s">
        <v>1144</v>
      </c>
      <c r="BN57" s="146" t="s">
        <v>1144</v>
      </c>
      <c r="BO57" s="146" t="s">
        <v>1144</v>
      </c>
      <c r="BP57" s="146" t="s">
        <v>1144</v>
      </c>
      <c r="BQ57" s="146" t="s">
        <v>1144</v>
      </c>
      <c r="BR57" s="146" t="s">
        <v>1144</v>
      </c>
      <c r="BS57" s="146" t="s">
        <v>1144</v>
      </c>
      <c r="BT57" s="146" t="s">
        <v>1144</v>
      </c>
      <c r="BU57" s="146" t="s">
        <v>1144</v>
      </c>
      <c r="BV57" s="146" t="s">
        <v>1144</v>
      </c>
      <c r="BW57" s="154" t="s">
        <v>1144</v>
      </c>
      <c r="BX57" s="154" t="s">
        <v>1144</v>
      </c>
      <c r="BY57" s="154">
        <v>1</v>
      </c>
      <c r="BZ57" s="154">
        <v>1</v>
      </c>
      <c r="CA57" s="154" t="s">
        <v>1144</v>
      </c>
      <c r="CB57" s="154" t="s">
        <v>1144</v>
      </c>
      <c r="CC57" s="154" t="s">
        <v>1144</v>
      </c>
      <c r="CD57" s="219">
        <v>1</v>
      </c>
      <c r="CE57" s="219" t="s">
        <v>294</v>
      </c>
      <c r="CF57" s="154" t="s">
        <v>1144</v>
      </c>
      <c r="CG57" s="154" t="s">
        <v>1144</v>
      </c>
      <c r="CH57" s="154" t="s">
        <v>1144</v>
      </c>
      <c r="CI57" s="154" t="s">
        <v>1144</v>
      </c>
      <c r="CJ57" s="154" t="s">
        <v>1144</v>
      </c>
      <c r="CK57" s="154" t="s">
        <v>1144</v>
      </c>
      <c r="CL57" s="154" t="s">
        <v>1144</v>
      </c>
      <c r="CM57" s="154" t="s">
        <v>1144</v>
      </c>
      <c r="CN57" s="154" t="s">
        <v>1144</v>
      </c>
      <c r="CO57" s="154" t="s">
        <v>1144</v>
      </c>
      <c r="CP57" s="154" t="s">
        <v>1144</v>
      </c>
      <c r="CQ57" s="154" t="s">
        <v>1144</v>
      </c>
      <c r="CR57" s="154" t="s">
        <v>1144</v>
      </c>
      <c r="CS57" s="154" t="s">
        <v>1144</v>
      </c>
      <c r="CT57" s="154" t="s">
        <v>1144</v>
      </c>
      <c r="CU57" s="154" t="s">
        <v>1144</v>
      </c>
      <c r="CV57" s="154" t="s">
        <v>1144</v>
      </c>
      <c r="CW57" s="154" t="s">
        <v>1144</v>
      </c>
      <c r="CX57" s="154" t="s">
        <v>1144</v>
      </c>
      <c r="CY57" s="154" t="s">
        <v>1144</v>
      </c>
      <c r="CZ57" s="154" t="s">
        <v>1144</v>
      </c>
      <c r="DA57" s="154" t="s">
        <v>1144</v>
      </c>
      <c r="DB57" s="152" t="str">
        <f t="shared" si="32"/>
        <v xml:space="preserve">Plan Estratégico Institucional, Plan de Acción, SGC, PROCESO: Gestión de seguridad y Salud en el trabajo, </v>
      </c>
      <c r="DC57" s="149" t="str">
        <f t="shared" si="88"/>
        <v>Porcentaje de cumplimiento del Plan de Trabajo Anual del Sistema de Gestión de Seguridad y Salud en el Trabajo de la Secretaría General de la Alcaldía Mayor de Bogotá, D.C.</v>
      </c>
      <c r="DD57" s="149" t="str">
        <f t="shared" si="88"/>
        <v>• jornadas de promoción, prevención e intervención de riesgos en materia de seguridad y salud en el trabajo</v>
      </c>
      <c r="DE57" s="149" t="str">
        <f t="shared" si="88"/>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
      <c r="DF57" s="149" t="str">
        <f t="shared" si="88"/>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
      <c r="DG57" s="149" t="str">
        <f t="shared" si="88"/>
        <v>Suma</v>
      </c>
      <c r="DH57" s="149">
        <f t="shared" si="2"/>
        <v>4</v>
      </c>
      <c r="DI57" s="149">
        <f t="shared" si="3"/>
        <v>0</v>
      </c>
      <c r="DJ57" s="149">
        <f t="shared" si="4"/>
        <v>1</v>
      </c>
      <c r="DK57" s="149">
        <f t="shared" si="5"/>
        <v>1</v>
      </c>
      <c r="DL57" s="149">
        <f t="shared" si="6"/>
        <v>1</v>
      </c>
      <c r="DM57" s="149">
        <f t="shared" si="7"/>
        <v>1</v>
      </c>
      <c r="DN57" s="149">
        <f t="shared" si="126"/>
        <v>0</v>
      </c>
      <c r="DO57" s="149">
        <f t="shared" si="100"/>
        <v>0</v>
      </c>
      <c r="DP57" s="149">
        <f t="shared" si="100"/>
        <v>25</v>
      </c>
      <c r="DQ57" s="149">
        <f t="shared" si="100"/>
        <v>25</v>
      </c>
      <c r="DR57" s="149">
        <f t="shared" si="100"/>
        <v>25</v>
      </c>
      <c r="DS57" s="149">
        <f t="shared" si="100"/>
        <v>25</v>
      </c>
      <c r="DT57" s="149">
        <f t="shared" si="100"/>
        <v>0</v>
      </c>
      <c r="DU57" s="149">
        <f t="shared" si="89"/>
        <v>100</v>
      </c>
      <c r="DV57" s="149">
        <f t="shared" si="89"/>
        <v>0</v>
      </c>
      <c r="DW57" s="149">
        <f t="shared" si="89"/>
        <v>0</v>
      </c>
      <c r="DX57" s="149" t="str">
        <f t="shared" si="89"/>
        <v>No se programaron actividades para cierre en el mes.</v>
      </c>
      <c r="DY57" s="149" t="str">
        <f t="shared" si="89"/>
        <v>No aplica para este mes</v>
      </c>
      <c r="DZ57" s="149" t="str">
        <f t="shared" si="89"/>
        <v>No aplica para este mes</v>
      </c>
      <c r="EA57" s="149">
        <f t="shared" si="89"/>
        <v>0</v>
      </c>
      <c r="EB57" s="149">
        <f t="shared" si="89"/>
        <v>1</v>
      </c>
      <c r="EC57" s="149" t="str">
        <f t="shared" si="89"/>
        <v>Ninguno</v>
      </c>
      <c r="ED57" s="149" t="str">
        <f t="shared" si="89"/>
        <v>Se desarrolla el informe de gestión de la vigencia 2019, se tiene pendiente el proceso de divulgación con la alta dirección según modificaciones solicitadas por la Dirección de Talento Humano.</v>
      </c>
      <c r="EE57" s="149" t="str">
        <f t="shared" si="90"/>
        <v>Garantizar la divulgación del informe de rendición de cuentas de la vigencia 2019 para retroalimentación por la alta dirección y mejoramiento del Sistema de Gestión de la Seguridad y Salud en el Trabajo.</v>
      </c>
      <c r="EF57" s="149">
        <f t="shared" si="90"/>
        <v>1</v>
      </c>
      <c r="EG57" s="149">
        <f t="shared" si="90"/>
        <v>1</v>
      </c>
      <c r="EH57" s="149" t="str">
        <f t="shared" si="90"/>
        <v>Se realiza el cierre de:
1.	Capacitación: Cuerpo Sano.</v>
      </c>
      <c r="EI57" s="149" t="str">
        <f t="shared" si="90"/>
        <v>Ninguno</v>
      </c>
      <c r="EJ57" s="149" t="str">
        <f t="shared" si="90"/>
        <v>Establecer una cultura de autocuidado, y de las medidas de prevención para la mitigación de contagio por Sars CoV 2 / COVID 19.</v>
      </c>
      <c r="EK57" s="149">
        <f t="shared" si="90"/>
        <v>1</v>
      </c>
      <c r="EL57" s="149">
        <f t="shared" si="90"/>
        <v>1</v>
      </c>
      <c r="EM57" s="149" t="str">
        <f t="shared" si="90"/>
        <v>Se realiza el cierre de:
1.	Capacitación Equipo SST en la Resolución 0312 de 2019.</v>
      </c>
      <c r="EN57" s="149" t="str">
        <f t="shared" si="90"/>
        <v>Ninguno</v>
      </c>
      <c r="EO57" s="149" t="str">
        <f t="shared" si="91"/>
        <v>Garantizar la actualización legal de los estándares mínimos y generar lineamientos para el desarrollo de la actualización del sistema de gestión de SST.</v>
      </c>
      <c r="EP57" s="149">
        <f t="shared" si="91"/>
        <v>1</v>
      </c>
      <c r="EQ57" s="149">
        <f t="shared" si="91"/>
        <v>1</v>
      </c>
      <c r="ER57" s="149" t="str">
        <f t="shared" si="91"/>
        <v>Se realiza el cierre de:
1. Realizar el informe de Perfil sociodemográfico.</v>
      </c>
      <c r="ES57" s="149" t="str">
        <f t="shared" si="91"/>
        <v>Ninguno</v>
      </c>
      <c r="ET57" s="149" t="str">
        <f t="shared" si="91"/>
        <v>Determinar las características mas comunes que conforman la población de la entidad, para orientar los programas de SST y toma de decisiones relacionadas con la emergencia sanitaria.</v>
      </c>
      <c r="EU57" s="149">
        <f t="shared" si="125"/>
        <v>1</v>
      </c>
      <c r="EV57" s="149">
        <f t="shared" si="125"/>
        <v>0</v>
      </c>
      <c r="EW57" s="149" t="str">
        <f t="shared" si="125"/>
        <v xml:space="preserve"> Para el mes de junio, desde el procos de Gestión de Seguridad y Salud en el Trabajo se desarrollaron las siguientes actividades:
1. 	Se realizo 18 afiliaciones a la ARL para los contratistas. _x000D_
2. 	Desarrollo de reuniones mensuales de COPASST – 4 de junio de 2020_x000D_
3. 	Se realiza 1 Investigaciones de accidente de trabajo, con la participación del COPASST. _x000D_
4. 	Socialización Primeros Auxilios en presencialidad y en Casa. _x000D_
5. 	Se realizaron 21 exámenes médico ocupacionales de ingreso, periódico, retiro. _x000D_
6. 	Informe de Ausentismo_x000D_
7. 	Programa de Modos, condiciones y estilos de vida y trabajo Saludable - Se realizo divulgación de pieza comunicacional de Cuerpo sano. Metodologías de autocuidado y nutrición. _x000D_
8. 	Desarrollo de pausas activas virtuales y cognitivas, sensibilización de higiene postural e inspección de puesto de trabajo _x000D_
9. 	Diseño de campaña para salud mental relacionado con noticias falsas y tele orientación psicológica. _x000D_
10. 	Se generaron 3 accidentes laborales. _x000D_
11. 	Se realizo 1 Investigación de accidente de trabajo. _x000D_
12. 	Se tiene una participación de 27 sedes con un 44% de cubrimiento para el programa de orden y aseo. _x000D_
13. 	Piezas comunicacionales del Programa de riesgo público. _x000D_
14. 	Socialización de Protocolo de Bioseguridad con Recade, entidades y revisión de espacios de aislamiento. _x000D_
15. 	Piezas comunicacionales del Programa de Prevención de Caídas a Nivel. _x000D_
16. 	Programa de Protección Contra Caídas (Trabajo en Alturas). – Diligenciamiento de Formatos y procedimiento para trabajo seguro en alturas. _x000D_
17. 	Actualización de Matriz de Madurez del Sistema de Gestión de Seguridad y Salud en el Trabajo. _x000D_
18. 	Se realiza reunión el 5 junio con el Equipo de Trabajo del Proceso de Gestión de la Seguridad y Salud en el Trabajo. _x000D_
19. 	Se adopta el Procedimiento de Gestión del Cambio para las acciones en Seguridad y Salud en el Trabajo. _x000D_
</v>
      </c>
      <c r="EX57" s="149" t="str">
        <f t="shared" si="125"/>
        <v>Se reprograma mesa laboral para revisión de casos debido a solicitud de los profesionales médicos de la ARL, por atención en periodo de pandemia por el virus Sars CoV2 – COVID19.</v>
      </c>
      <c r="EY57" s="149" t="str">
        <f t="shared" si="125"/>
        <v>Los beneficios identificados son:_x000D_
1. 	Garantizar el cubrimiento por la ARL para los contratistas de la entidad._x000D_
2. 	Garantizar el cumplimiento de la legislación legal vigente._x000D_
3. 	Identificar las causas de la accidentalidad de la entidad para generar metodologías de minimización de los accidentes laborales._x000D_
4. 	Capacitar a los Brigadistas de Entidad ante situaciones de emergencia referentes al contagio por Sars CoV2 – COVID19._x000D_
5. 	Apoyo Psicosocial, referente a situaciones de contagio por Sars CoV2 – COVID19._x000D_
6. 	Medición del ausentismo por incapacidad para desarrollar actividades de prevención y promoción de la salud._x000D_
7. 	Desarrollo de actividades que ayuden a disminuir el riesgo osteomuscular._x000D_
8. 	Capacitar a colaboradores en el programa de prevención contra caídas._x000D_
9. 	Garantizar un procedimiento de gestión de cambio._x000D_
10. 	Realizar seguimiento a las condiciones de salud de los Servidores(as) públicos(as) de la entidad._x000D_
11. 	Seguimiento a la Madurez del Sistema de Gestión de Seguridad y Salud en el Trabajo en la entidad_x000D_
12. 	Seguimiento de las actividades del SG-SST con el Equipo de Trabajo del Proceso._x000D_</v>
      </c>
      <c r="EZ57" s="149">
        <f t="shared" si="91"/>
        <v>4</v>
      </c>
      <c r="FA57" s="149">
        <f t="shared" si="91"/>
        <v>4</v>
      </c>
      <c r="FB57" s="149" t="str">
        <f t="shared" si="91"/>
        <v/>
      </c>
      <c r="FC57" s="149" t="str">
        <f t="shared" si="91"/>
        <v/>
      </c>
      <c r="FD57" s="149" t="str">
        <f t="shared" si="92"/>
        <v/>
      </c>
      <c r="FE57" s="149" t="str">
        <f t="shared" si="92"/>
        <v/>
      </c>
      <c r="FF57" s="149" t="str">
        <f t="shared" si="92"/>
        <v/>
      </c>
      <c r="FG57" s="149" t="str">
        <f t="shared" si="92"/>
        <v/>
      </c>
      <c r="FH57" s="149" t="str">
        <f t="shared" si="92"/>
        <v/>
      </c>
      <c r="FI57" s="149" t="str">
        <f t="shared" si="92"/>
        <v/>
      </c>
      <c r="FJ57" s="149" t="str">
        <f t="shared" si="92"/>
        <v/>
      </c>
      <c r="FK57" s="149" t="str">
        <f t="shared" si="92"/>
        <v/>
      </c>
      <c r="FL57" s="149" t="str">
        <f t="shared" si="92"/>
        <v/>
      </c>
      <c r="FM57" s="149" t="str">
        <f t="shared" si="92"/>
        <v/>
      </c>
      <c r="FN57" s="149" t="str">
        <f t="shared" si="93"/>
        <v/>
      </c>
      <c r="FO57" s="149" t="str">
        <f t="shared" si="93"/>
        <v/>
      </c>
      <c r="FP57" s="149" t="str">
        <f t="shared" si="93"/>
        <v/>
      </c>
      <c r="FQ57" s="149" t="str">
        <f t="shared" si="93"/>
        <v/>
      </c>
      <c r="FR57" s="149" t="str">
        <f t="shared" si="93"/>
        <v/>
      </c>
      <c r="FS57" s="149" t="str">
        <f t="shared" si="93"/>
        <v/>
      </c>
      <c r="FT57" s="149" t="str">
        <f t="shared" si="93"/>
        <v/>
      </c>
      <c r="FU57" s="149" t="str">
        <f t="shared" si="93"/>
        <v/>
      </c>
      <c r="FV57" s="149" t="str">
        <f t="shared" si="93"/>
        <v/>
      </c>
      <c r="FW57" s="149" t="str">
        <f t="shared" si="93"/>
        <v/>
      </c>
      <c r="FX57" s="149" t="str">
        <f t="shared" si="94"/>
        <v/>
      </c>
      <c r="FY57" s="149" t="str">
        <f t="shared" si="94"/>
        <v/>
      </c>
      <c r="FZ57" s="149" t="str">
        <f t="shared" si="94"/>
        <v/>
      </c>
      <c r="GA57" s="149" t="str">
        <f t="shared" si="94"/>
        <v/>
      </c>
      <c r="GB57" s="149" t="str">
        <f t="shared" si="94"/>
        <v/>
      </c>
      <c r="GC57" s="149" t="str">
        <f t="shared" si="94"/>
        <v/>
      </c>
      <c r="GD57" s="149" t="str">
        <f t="shared" si="94"/>
        <v/>
      </c>
      <c r="GE57" s="149" t="str">
        <f t="shared" si="94"/>
        <v/>
      </c>
      <c r="GF57" s="149">
        <f t="shared" si="33"/>
        <v>0</v>
      </c>
      <c r="GG57" s="149">
        <f t="shared" si="22"/>
        <v>0</v>
      </c>
      <c r="GH57" s="149">
        <f t="shared" si="23"/>
        <v>1</v>
      </c>
      <c r="GI57" s="149">
        <f t="shared" si="24"/>
        <v>1</v>
      </c>
      <c r="GJ57" s="149">
        <f t="shared" si="25"/>
        <v>1</v>
      </c>
      <c r="GK57" s="149">
        <f t="shared" si="34"/>
        <v>1</v>
      </c>
      <c r="GL57" s="149">
        <f t="shared" si="15"/>
        <v>0</v>
      </c>
      <c r="GM57" s="149">
        <f t="shared" si="16"/>
        <v>0</v>
      </c>
      <c r="GN57" s="149">
        <f t="shared" si="17"/>
        <v>25</v>
      </c>
      <c r="GO57" s="149">
        <f t="shared" si="18"/>
        <v>25</v>
      </c>
      <c r="GP57" s="149">
        <f t="shared" si="19"/>
        <v>25</v>
      </c>
      <c r="GQ57" s="149">
        <f t="shared" si="19"/>
        <v>25</v>
      </c>
      <c r="GR57" s="153">
        <f t="shared" si="124"/>
        <v>100</v>
      </c>
      <c r="GS57" s="149" t="str">
        <f t="shared" si="37"/>
        <v>No Programó</v>
      </c>
      <c r="GT57" s="149">
        <f>+IF(OR($A57=52,$A57=124),1,IFERROR(IF($X57="Creciente",IF($AB57="Número",SUM($GL57:GM57)/SUM($DO57:DP57)*($AX57-$AW57),SUM($GL57:GM57)/SUM($DO57:DP57))*($AX57-$AW57),IF($DG57="Creciente",GM57*GM57/GM57,IF(AND($DG57="Constante",$AB57="Porcentaje"),AVERAGEIF($GL57:GM57,"&lt;&gt;0")/AVERAGEIF($DO57:DP57,"&lt;&gt;0")*100,SUM($GL57:GM57)/SUM($DO57:DP57)*$DU57))),GS57))</f>
        <v>0</v>
      </c>
      <c r="GU57" s="149">
        <f>+IF(OR($A57=52,$A57=124),1,IFERROR(IF($X57="Creciente",IF($AB57="Número",SUM($GL57:GN57)/SUM($DO57:DQ57)*($AX57-$AW57),SUM($GL57:GN57)/SUM($DO57:DQ57))*($AX57-$AW57),IF($DG57="Creciente",GN57*GN57/GN57,IF(AND($DG57="Constante",$AB57="Porcentaje"),AVERAGEIF($GL57:GN57,"&lt;&gt;0")/AVERAGEIF($DO57:DQ57,"&lt;&gt;0")*100,SUM($GL57:GN57)/SUM($DO57:DQ57)*$DU57))),GT57))</f>
        <v>50</v>
      </c>
      <c r="GV57" s="149">
        <f>+IF(OR($A57=52,$A57=124),1,IFERROR(IF($X57="Creciente",IF($AB57="Número",SUM($GL57:GO57)/SUM($DO57:DR57)*($AX57-$AW57),SUM($GL57:GO57)/SUM($DO57:DR57))*($AX57-$AW57),IF($DG57="Creciente",GO57*GO57/GO57,IF(AND($DG57="Constante",$AB57="Porcentaje"),AVERAGEIF($GL57:GO57,"&lt;&gt;0")/AVERAGEIF($DO57:DR57,"&lt;&gt;0")*100,SUM($GL57:GO57)/SUM($DO57:DR57)*$DU57))),GU57))</f>
        <v>66.666666666666657</v>
      </c>
      <c r="GW57" s="149">
        <f>+IF(OR($A57=52,$A57=124),1,IFERROR(IF($X57="Creciente",IF($AB57="Número",SUM($GL57:GP57)/SUM($DO57:DS57)*($AX57-$AW57),SUM($GL57:GP57)/SUM($DO57:DS57))*($AX57-$AW57),IF($DG57="Creciente",GP57*GP57/GP57,IF(AND($DG57="Constante",$AB57="Porcentaje"),AVERAGEIF($GL57:GP57,"&lt;&gt;0")/AVERAGEIF($DO57:DS57,"&lt;&gt;0")*100,SUM($GL57:GP57)/SUM($DO57:DS57)*$DU57))),GV57))</f>
        <v>75</v>
      </c>
      <c r="GX57" s="149">
        <f>+IF(OR($A57=52,$A57=124),1,IFERROR(IF($X57="Creciente",IF($AB57="Número",SUM($GL57:GQ57)/SUM($DO57:DT57)*($AX57-$AW57),SUM($GL57:GQ57)/SUM($DO57:DT57))*($AX57-$AW57),IF($DG57="Creciente",GQ57*GQ57/GQ57,IF(AND($DG57="Constante",$AB57="Porcentaje"),AVERAGEIF($GL57:GQ57,"&lt;&gt;0")/AVERAGEIF($DO57:DT57,"&lt;&gt;0")*100,SUM($GL57:GQ57)/SUM($DO57:DT57)*$DU57))),GW57))</f>
        <v>100</v>
      </c>
      <c r="GY57" s="149" t="str">
        <f t="shared" si="28"/>
        <v>Porcentaje de cumplimiento del Plan de Trabajo Anual del Sistema de Gestión de Seguridad y Salud en el Trabajo de la Secretaría General de la Alcaldía Mayor de Bogotá, D.C.</v>
      </c>
      <c r="GZ57" s="149" t="str">
        <f t="shared" si="29"/>
        <v>• jornadas de promoción, prevención e intervención de riesgos en materia de seguridad y salud en el trabajo</v>
      </c>
      <c r="HA57" s="149" t="str">
        <f t="shared" si="30"/>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
      <c r="HB57" s="149" t="str">
        <f t="shared" si="31"/>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
      <c r="HC57" s="149" t="str">
        <f t="shared" si="127"/>
        <v>Cumple</v>
      </c>
      <c r="HD57" s="149" t="str">
        <f t="shared" si="127"/>
        <v>Aceptable</v>
      </c>
      <c r="HE57" s="149" t="str">
        <f t="shared" si="127"/>
        <v>No adecuado</v>
      </c>
      <c r="HF57" s="149" t="str">
        <f t="shared" si="127"/>
        <v>Coherente</v>
      </c>
      <c r="HG57" s="149" t="str">
        <f t="shared" si="127"/>
        <v>Concuerda</v>
      </c>
      <c r="HH57" s="149" t="str">
        <f t="shared" si="127"/>
        <v>Concuerda</v>
      </c>
      <c r="HI57" s="149" t="str">
        <f t="shared" si="127"/>
        <v>Relación directa</v>
      </c>
      <c r="HJ57" s="149" t="str">
        <f t="shared" si="127"/>
        <v>Adecuado</v>
      </c>
      <c r="HK57" s="149" t="str">
        <f t="shared" si="127"/>
        <v>Oportuna</v>
      </c>
      <c r="HL57" s="149" t="str">
        <f t="shared" si="127"/>
        <v>1. Se evidencia un avance cuantitativo del Indicador del 75% con corte a 31 de mayo de 2020, teniendo en cuenta que la actividad programada para el mes de febrero no se realizó. Se desarrolla el informe de gestión de la vigencia 2019, pero se tiene pendiente el proceso de divulgación con la alta dirección según modificaciones solicitadas por la Dirección de Talento Humano.</v>
      </c>
      <c r="HM57" s="149" t="str">
        <f t="shared" si="128"/>
        <v>Bibiana Rodríguez González</v>
      </c>
      <c r="HN57" s="149" t="str">
        <f t="shared" si="128"/>
        <v>Cumple</v>
      </c>
      <c r="HO57" s="149" t="str">
        <f t="shared" si="128"/>
        <v>Cumplido</v>
      </c>
      <c r="HP57" s="149" t="str">
        <f t="shared" si="128"/>
        <v>Adecuado</v>
      </c>
      <c r="HQ57" s="149" t="str">
        <f t="shared" si="128"/>
        <v>Coherente</v>
      </c>
      <c r="HR57" s="149" t="str">
        <f t="shared" si="128"/>
        <v>Concuerda</v>
      </c>
      <c r="HS57" s="149" t="str">
        <f t="shared" si="128"/>
        <v>No aplica</v>
      </c>
      <c r="HT57" s="149" t="str">
        <f t="shared" si="128"/>
        <v>Relación directa</v>
      </c>
      <c r="HU57" s="149" t="str">
        <f t="shared" si="128"/>
        <v>Adecuado</v>
      </c>
      <c r="HV57" s="149" t="str">
        <f t="shared" si="128"/>
        <v>Oportuna</v>
      </c>
      <c r="HW57" s="149" t="str">
        <f t="shared" si="128"/>
        <v>No aplica</v>
      </c>
      <c r="HX57" s="149" t="str">
        <f t="shared" si="128"/>
        <v>Bibiana Rodríguez González</v>
      </c>
    </row>
    <row r="58" spans="1:232" s="149" customFormat="1" x14ac:dyDescent="0.3">
      <c r="A58" s="225" t="s">
        <v>382</v>
      </c>
      <c r="B58" s="146" t="s">
        <v>1144</v>
      </c>
      <c r="C58" s="146" t="s">
        <v>1144</v>
      </c>
      <c r="D58" s="146" t="s">
        <v>1144</v>
      </c>
      <c r="E58" s="146" t="s">
        <v>1144</v>
      </c>
      <c r="F58" s="136" t="s">
        <v>1666</v>
      </c>
      <c r="G58" s="146" t="s">
        <v>1144</v>
      </c>
      <c r="H58" s="146" t="s">
        <v>1144</v>
      </c>
      <c r="I58" s="149" t="s">
        <v>1146</v>
      </c>
      <c r="J58" s="154" t="s">
        <v>195</v>
      </c>
      <c r="K58" s="154" t="s">
        <v>196</v>
      </c>
      <c r="L58" s="154" t="s">
        <v>197</v>
      </c>
      <c r="M58" s="154" t="s">
        <v>1413</v>
      </c>
      <c r="N58" s="154" t="s">
        <v>1655</v>
      </c>
      <c r="O58" s="154" t="s">
        <v>1667</v>
      </c>
      <c r="P58" s="148" t="s">
        <v>1666</v>
      </c>
      <c r="Q58" s="154" t="s">
        <v>1668</v>
      </c>
      <c r="R58" s="154"/>
      <c r="S58" s="154" t="s">
        <v>1669</v>
      </c>
      <c r="T58" s="154" t="s">
        <v>1670</v>
      </c>
      <c r="U58" s="154" t="s">
        <v>1671</v>
      </c>
      <c r="V58" s="154" t="s">
        <v>1668</v>
      </c>
      <c r="W58" s="148" t="s">
        <v>601</v>
      </c>
      <c r="X58" s="154" t="s">
        <v>601</v>
      </c>
      <c r="Y58" s="166"/>
      <c r="Z58" s="154" t="s">
        <v>1672</v>
      </c>
      <c r="AA58" s="154" t="s">
        <v>1673</v>
      </c>
      <c r="AB58" s="154" t="s">
        <v>602</v>
      </c>
      <c r="AC58" s="154" t="s">
        <v>1271</v>
      </c>
      <c r="AD58" s="154" t="s">
        <v>1160</v>
      </c>
      <c r="AE58" s="154">
        <v>2019</v>
      </c>
      <c r="AF58" s="154">
        <v>0</v>
      </c>
      <c r="AG58" s="154">
        <v>2019</v>
      </c>
      <c r="AH58" s="154" t="s">
        <v>1161</v>
      </c>
      <c r="AI58" s="154" t="s">
        <v>1161</v>
      </c>
      <c r="AJ58" s="154" t="s">
        <v>1161</v>
      </c>
      <c r="AK58" s="154">
        <v>1</v>
      </c>
      <c r="AL58" s="217">
        <v>1</v>
      </c>
      <c r="AM58" s="154" t="s">
        <v>1161</v>
      </c>
      <c r="AN58" s="146" t="s">
        <v>1144</v>
      </c>
      <c r="AO58" s="146" t="s">
        <v>1144</v>
      </c>
      <c r="AP58" s="146" t="s">
        <v>1144</v>
      </c>
      <c r="AQ58" s="146" t="s">
        <v>1144</v>
      </c>
      <c r="AR58" s="146" t="s">
        <v>1144</v>
      </c>
      <c r="AS58" s="150" t="s">
        <v>1144</v>
      </c>
      <c r="AT58" s="232" t="s">
        <v>1161</v>
      </c>
      <c r="AU58" s="232" t="s">
        <v>1161</v>
      </c>
      <c r="AV58" s="232" t="s">
        <v>1161</v>
      </c>
      <c r="AW58" s="232">
        <v>100</v>
      </c>
      <c r="AX58" s="211">
        <v>100</v>
      </c>
      <c r="AY58" s="232" t="s">
        <v>1161</v>
      </c>
      <c r="BD58" s="149">
        <v>0</v>
      </c>
      <c r="BJ58" s="149">
        <v>0</v>
      </c>
      <c r="BK58" s="146" t="s">
        <v>1144</v>
      </c>
      <c r="BL58" s="146" t="s">
        <v>1144</v>
      </c>
      <c r="BM58" s="146" t="s">
        <v>1144</v>
      </c>
      <c r="BN58" s="146" t="s">
        <v>1144</v>
      </c>
      <c r="BO58" s="146" t="s">
        <v>1144</v>
      </c>
      <c r="BP58" s="146" t="s">
        <v>1144</v>
      </c>
      <c r="BQ58" s="146" t="s">
        <v>1144</v>
      </c>
      <c r="BR58" s="146" t="s">
        <v>1144</v>
      </c>
      <c r="BS58" s="146" t="s">
        <v>1144</v>
      </c>
      <c r="BT58" s="146" t="s">
        <v>1144</v>
      </c>
      <c r="BU58" s="146" t="s">
        <v>1144</v>
      </c>
      <c r="BV58" s="146" t="s">
        <v>1144</v>
      </c>
      <c r="BW58" s="154" t="s">
        <v>1144</v>
      </c>
      <c r="BX58" s="154" t="s">
        <v>1144</v>
      </c>
      <c r="BY58" s="154">
        <v>1</v>
      </c>
      <c r="BZ58" s="154">
        <v>1</v>
      </c>
      <c r="CA58" s="154" t="s">
        <v>1144</v>
      </c>
      <c r="CB58" s="154" t="s">
        <v>1144</v>
      </c>
      <c r="CC58" s="154" t="s">
        <v>1144</v>
      </c>
      <c r="CD58" s="219">
        <v>1</v>
      </c>
      <c r="CE58" s="219" t="s">
        <v>299</v>
      </c>
      <c r="CF58" s="154" t="s">
        <v>1144</v>
      </c>
      <c r="CG58" s="154" t="s">
        <v>1144</v>
      </c>
      <c r="CH58" s="154" t="s">
        <v>1144</v>
      </c>
      <c r="CI58" s="154" t="s">
        <v>1144</v>
      </c>
      <c r="CJ58" s="154" t="s">
        <v>1144</v>
      </c>
      <c r="CK58" s="154" t="s">
        <v>1144</v>
      </c>
      <c r="CL58" s="154" t="s">
        <v>1144</v>
      </c>
      <c r="CM58" s="154" t="s">
        <v>1144</v>
      </c>
      <c r="CN58" s="154">
        <v>1</v>
      </c>
      <c r="CO58" s="154">
        <v>1</v>
      </c>
      <c r="CP58" s="154">
        <v>1</v>
      </c>
      <c r="CQ58" s="154" t="s">
        <v>1144</v>
      </c>
      <c r="CR58" s="154">
        <v>1</v>
      </c>
      <c r="CS58" s="154" t="s">
        <v>1144</v>
      </c>
      <c r="CT58" s="154" t="s">
        <v>1144</v>
      </c>
      <c r="CU58" s="154" t="s">
        <v>1144</v>
      </c>
      <c r="CV58" s="154" t="s">
        <v>1144</v>
      </c>
      <c r="CW58" s="154" t="s">
        <v>1144</v>
      </c>
      <c r="CX58" s="154" t="s">
        <v>1144</v>
      </c>
      <c r="CY58" s="154" t="s">
        <v>1144</v>
      </c>
      <c r="CZ58" s="154" t="s">
        <v>1144</v>
      </c>
      <c r="DA58" s="154" t="s">
        <v>1144</v>
      </c>
      <c r="DB58" s="152" t="str">
        <f t="shared" si="32"/>
        <v xml:space="preserve">Plan Estratégico Institucional, Plan de Acción, SGC, PROCESO: Gestión Estratégica del Talento Humano, PLAN ANUAL DE VACANTES, PLAN DE PREVISIÓN DE RECURSOS HUMANOS,PLAN ESTRATÉGICO DE TALENTO HUMANO, PLAN DE INCENTIVOS INSTITUCIONALES, </v>
      </c>
      <c r="DC58" s="149" t="str">
        <f t="shared" si="88"/>
        <v>Porcentaje de cumplimiento del Plan Estrategico de la Dirección de Talento Humano.</v>
      </c>
      <c r="DD58" s="149" t="str">
        <f t="shared" si="88"/>
        <v xml:space="preserve">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cultura y educación. </v>
      </c>
      <c r="DE58" s="149" t="str">
        <f t="shared" si="88"/>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
      <c r="DF58" s="149" t="str">
        <f t="shared" si="88"/>
        <v>Listados de Asistencia
Registro fotografico
Informes trimestrales y el reporte de la información de los asistentes a las diferentes actividades.</v>
      </c>
      <c r="DG58" s="149" t="str">
        <f t="shared" si="88"/>
        <v>Suma</v>
      </c>
      <c r="DH58" s="149">
        <f t="shared" si="2"/>
        <v>24</v>
      </c>
      <c r="DI58" s="149">
        <f t="shared" si="3"/>
        <v>0</v>
      </c>
      <c r="DJ58" s="149">
        <f t="shared" si="4"/>
        <v>3</v>
      </c>
      <c r="DK58" s="149">
        <f t="shared" si="5"/>
        <v>2</v>
      </c>
      <c r="DL58" s="149">
        <f t="shared" si="6"/>
        <v>4</v>
      </c>
      <c r="DM58" s="149">
        <f t="shared" si="7"/>
        <v>7</v>
      </c>
      <c r="DN58" s="149">
        <f t="shared" si="126"/>
        <v>8</v>
      </c>
      <c r="DO58" s="149">
        <f t="shared" si="100"/>
        <v>0</v>
      </c>
      <c r="DP58" s="149">
        <f t="shared" si="100"/>
        <v>12.5</v>
      </c>
      <c r="DQ58" s="149">
        <f t="shared" si="100"/>
        <v>8.3333333333333321</v>
      </c>
      <c r="DR58" s="149">
        <f t="shared" si="100"/>
        <v>16.666666666666664</v>
      </c>
      <c r="DS58" s="149">
        <f t="shared" si="100"/>
        <v>29.166666666666668</v>
      </c>
      <c r="DT58" s="149">
        <f t="shared" si="100"/>
        <v>33.333333333333329</v>
      </c>
      <c r="DU58" s="149">
        <f t="shared" si="89"/>
        <v>100</v>
      </c>
      <c r="DV58" s="149">
        <f t="shared" si="89"/>
        <v>0</v>
      </c>
      <c r="DW58" s="149">
        <f t="shared" si="89"/>
        <v>0</v>
      </c>
      <c r="DX58" s="149" t="str">
        <f t="shared" si="89"/>
        <v>PIB:
No aplica para este mes
PIC:
No aplica para este mes
SST:
No aplica para este mes</v>
      </c>
      <c r="DY58" s="149" t="str">
        <f t="shared" si="89"/>
        <v>PIB:
No aplica para este mes
PIC:
No aplica para este mes
SST:
No aplica para este mes</v>
      </c>
      <c r="DZ58" s="149" t="str">
        <f t="shared" si="89"/>
        <v>PIB:
No aplica para este mes
PIC:
No aplica para este mes
SST:
No aplica para este mes</v>
      </c>
      <c r="EA58" s="149">
        <f t="shared" si="89"/>
        <v>2</v>
      </c>
      <c r="EB58" s="149">
        <f t="shared" si="89"/>
        <v>3</v>
      </c>
      <c r="EC58" s="149" t="str">
        <f t="shared" si="89"/>
        <v>PIB:
1. Se realizó la jornada tributaria para servidores
PIC:
1. Induccion y Reinducción
SST:
Niguno</v>
      </c>
      <c r="ED58" s="149" t="str">
        <f t="shared" si="89"/>
        <v>PIB:
Ninguno
PIC:
Ninguno
SST:
Se desarrolla el informe de gestión de la vigencia 2019, se tiene pendiente el proceso de divulgación con la alta dirección según modificaciones solicitadas por la Dirección de Talento Humano.</v>
      </c>
      <c r="EE58" s="149" t="str">
        <f t="shared" si="90"/>
        <v>PIB:
Los servidores de la entidad, sin tener que realizar desplazamientos adicionales, pudieron acceder a la información tributaria personal. Generando apropiación por la ciudad.
PIC:
Facilitar y fortalecer la integración de los servidores a la cultura organizacional. 
SST:
Garantizar la divulgación del informe de rendición de cuentas de la vigencia 2019 para retroalimentación por la alta dirección y mejoramiento del Sistema de Gestión de la Seguridad y Salud en el Trabajo.</v>
      </c>
      <c r="EF58" s="149">
        <f t="shared" si="90"/>
        <v>2</v>
      </c>
      <c r="EG58" s="149">
        <f t="shared" si="90"/>
        <v>2</v>
      </c>
      <c r="EH58" s="149" t="str">
        <f t="shared" si="90"/>
        <v>PIB:
Se realizó la actividad Cuerpo Sano
PIC:
No aplica para este mes
SST:
Capacitación: Cuerpo Sano.</v>
      </c>
      <c r="EI58" s="149" t="str">
        <f t="shared" si="90"/>
        <v>PIB:
Ninguno
PIC:
No aplica para este mes
SST:
Ninguno</v>
      </c>
      <c r="EJ58" s="149" t="str">
        <f t="shared" si="90"/>
        <v>PIB:
La actividad se realizó a través de los medios virtuales de comunicación de la entidad, enfocando el mensaje de la necesidad del cuerpo sano, dentro de la cuarentena a causa del Covid 2019.
PIC:
No aplica para este mes
SST:
Establecer una cultura de autocuidado, y de las medidas de prevención para la mitigación de contagio por Sars CoV 2 / COVID 19.</v>
      </c>
      <c r="EK58" s="149">
        <f t="shared" si="90"/>
        <v>4</v>
      </c>
      <c r="EL58" s="149">
        <f t="shared" si="90"/>
        <v>4</v>
      </c>
      <c r="EM58" s="149" t="str">
        <f t="shared" si="90"/>
        <v>PIB:
No aplica para este mes
PIC:
1. Didacticas para una Ciudadania Inconforme
2. Gestion de Riesgos
3. SECOP  II
SST:
Capacitación Equipo SST en la Resolución 0312 de 2019.</v>
      </c>
      <c r="EN58" s="149" t="str">
        <f t="shared" si="90"/>
        <v>PIB:
No aplica para este mes
PIC:
La capacitacion de Sistema integrado de conservación se reprogramo para Junio 2020, debido al cronograma realizado por la Subd técnica archivo de Bogotá con ocasion a la pandemia. Sin embargo, se realizó capacitación SECOP II en abril debido a la disponibilidad de tiempo de los servidores y capacitadores, cabe aclarar que está capacitación estaba programada para el mes de mayo.
SST:
Ninguno</v>
      </c>
      <c r="EO58" s="149" t="str">
        <f t="shared" si="91"/>
        <v>PIB:
No aplica para este mes
PIC:
Fortalecer la gestión personal, desarrollando habilidades en la relación con la inteligencia social y promover cambios organizacionales en el actuar de los servidores públicos.
Brindar herramientas y técnicas que permitan implementar y gestionar los riesgos de la entidad, en el marco de los estándares y las mejores prácticas.
Desarrollar habilidades y destrezas para el manejo del SECOP II
SST:
Garantizar la actualización legal de los estándares mínimos y generar lineamientos para el desarrollo de la actualización del sistema de gestión de SST.</v>
      </c>
      <c r="EP58" s="149">
        <f t="shared" si="91"/>
        <v>2</v>
      </c>
      <c r="EQ58" s="149">
        <f t="shared" si="91"/>
        <v>7</v>
      </c>
      <c r="ER58" s="149" t="str">
        <f t="shared" si="91"/>
        <v>PIB:
No aplica para este mes
PIC:
1. Presupuesto público
SST:
Realizar el informe de Perfil sociodemográfico.</v>
      </c>
      <c r="ES58" s="149" t="str">
        <f t="shared" si="91"/>
        <v>PIB:
No aplica para este mes
PIC:
1. Plan de Salvamento para el Acervo documental del Archivo de Bogotá, se reprogramo para Junio 2020, debido al cronograma realizado por la Subdirección técnica archivo de Bogotá con ocasión a la pandemia.
2. Competencias ciudadanas en seguridad vial, se reprogramo para Julio, debido a disponibilidad de los servidores.
3. Innovación pública, se reprogramo para junio, debido a que el DASCD en el mes de mayo no tenía aun programación.
4. Talks2020, 38° Congreso Nacional de Derecho Laboral y Seguridad Social, fue Cancelado debido a la Pandemia, no se recibió notificación de reprogramación.
5. SECOP II se realizó en el mes de abril.
SST:
Ninguno</v>
      </c>
      <c r="ET58" s="149" t="str">
        <f t="shared" si="91"/>
        <v>PIB:
No aplica para este mes
PIC:
Fortalecer conocimientos y conceptos sobre Presupuesto Público que faciliten la toma de decisiones de todos los gobiernos territoriales, incluido el Distrito Capital de Bogotá. A través de esta herramienta se puede materializar y dar cumplimiento a los programas de gobierno, los planes de desarrollo y en fin poder impulsar y propiciar la satisfacción de necesidades básicas de la población y el desarrollo de los territorios.
SST:
Determinar las características mas comunes que conforman la población de la entidad, para orientar los programas de SST y toma de decisiones relacionadas con la emergencia sanitaria.</v>
      </c>
      <c r="EU58" s="149">
        <f t="shared" si="125"/>
        <v>14</v>
      </c>
      <c r="EV58" s="149">
        <f t="shared" si="125"/>
        <v>8</v>
      </c>
      <c r="EW58" s="149" t="str">
        <f t="shared" si="125"/>
        <v xml:space="preserve">PIB:
No aplica para este mes.
PIC:
1. Lenguaeje Claro.
2. Participación Ciudadana. 
3. MIPG.
4. Contratación Estatal.
5. Estretegias para el Desarrollo de CompetenciasEfectivas Humanas.
6. Innovación Pública.
7. Sistema General de Pensiones.
8. Inducción Servidores.
9. MIPG_Marzo
10. Normatividad para conductores.
11. Presupuesto Público.
12. Familias Lactantes.
13. Bogotá te Escucha.
SST:
1.  Se realizo 18 afiliaciones a la ARL para los contratistas. 
2.  Desarrollo de reuniones mensuales de COPASST – 4 de junio de 2020.
3.  Se realiza 1 Investigaciones de accidente de trabajo, con la participación del COPASST. 
4.  Socialización Primeros Auxilios en presencialidad y en Casa. 
5.  Se realizaron 21 exámenes médico ocupacionales de ingreso, periódico, retiro. 
6.  Informe de Ausentismo.
7.  Programa de Modos, condiciones y estilos de vida y trabajo Saludable - Se realizo divulgación de pieza comunicacional de Cuerpo sano. Metodologías de autocuidado y nutrición. 
8.  Desarrollo de pausas activas virtuales y cognitivas, sensibilización de higiene postural e inspección de puesto de trabajo. 
9.  Diseño de campaña para salud mental relacionado con noticias falsas y tele orientación psicológica. 
10.  Se generaron 3 accidentes laborales. 
11.  Se realizo 1 Investigación de accidente de trabajo. 
12.  Se tiene una participación de 27 sedes con un 44% de cubrimiento para el programa de orden y aseo. 
13.  Piezas comunicacionales del Programa de riesgo público. 
14.  Socialización de Protocolo de Bioseguridad con Recade, entidades y revisión de espacios de aislamiento. 
15.  Piezas comunicacionales del Programa de Prevención de Caídas a Nivel. 
16.  Programa de Protección Contra Caídas (Trabajo en Alturas). – Diligenciamiento de Formatos y procedimiento para trabajo seguro en alturas. 
17.  Actualización de Matriz de Madurez del Sistema de Gestión de Seguridad y Salud en el Trabajo. 
18.  Se realiza reunión el 5 junio con el Equipo de Trabajo del Proceso de Gestión de la Seguridad y Salud en el Trabajo. 
19.  Se adopta el Procedimiento de Gestión del Cambio para las acciones en Seguridad y Salud en el Trabajo. </v>
      </c>
      <c r="EX58" s="149" t="str">
        <f t="shared" si="125"/>
        <v xml:space="preserve">PIB:
No aplica para este mes.
PIC:
No aplica para este mes.
SST:
No aplica para este mes.
</v>
      </c>
      <c r="EY58" s="149" t="str">
        <f t="shared" si="125"/>
        <v xml:space="preserve">PIB:
No aplica para este mes.
PIC:
a) Mejorar las habilidades comunicativas de los(as) Servidores(as) Públicos(as) y construir documentos comprensibles para el ciudadano.
b) Reconocer la importancia de la participación ciudadana para la construcción de tejido social.
C)  Afianzar los conocimientos de los(as) Servidores(as) Públicos(as) para desarrollar procesos de contratación de manera correcta, transparente y eficiente.
d) Concienciar las habilidades para la vida del (la) Servidor(a) hacia buenas prácticas desde el desarrollo de competencias efectivas.
e) Afianzar los conocimientos respecto a la gestión de peticiones ciudadanas, y en el manejo y funcionalidades de Bogotá te escucha, con el fin de promover buenas prácticas para la atención de peticiones conforme a la Ley.
f) Promover la lactancia materna exclusiva durante los primeros años de vida, proporcionando así  a los niños y las niñas toda la energía y los nutrientes que necesitan protegiéndolos de enfermedades infecciosas y crónicas; y garantizando en la sala de lactancia las condiciones adecuadas para la extracción, mantenimiento y almacenamiento de la leche materna.
g) Dar a conocer la nueva normatividad a los conductores de la Entidad.
SST:
Los beneficios identificados son:
1. Garantizar el cubrimiento por la ARL para los contratistas de la entidad.
2. Garantizar el cumplimiento de la legislación legal vigente.
3. Identificar las causas de la accidentalidad de la entidad para generar metodologías de minimización de los accidentes laborales.
4. Capacitar a los Brigadistas de Entidad ante situaciones de emergencia referentes al contagio por Sars CoV2 – COVID19.
5. Apoyo Psicosocial, referente a situaciones de contagio por Sars CoV2 – COVID19.
6. Medición del ausentismo por incapacidad para desarrollar actividades de prevención y promoción de la salud.
7. Desarrollo de actividades que ayuden a disminuir el riesgo osteomuscular.
8. Capacitar a colaboradores en el programa de prevención contra caídas.
9. Garantizar un procedimiento de gestión de cambio.
10. Realizar seguimiento a las condiciones de salud de los Servidores(as) públicos(as) de la entidad.
11. Seguimiento a la Madurez del Sistema de Gestión de Seguridad y Salud en el Trabajo en la entidad
12. Seguimiento de las actividades del SG-SST con el Equipo de Trabajo del Proceso.
</v>
      </c>
      <c r="EZ58" s="149">
        <f t="shared" si="91"/>
        <v>24</v>
      </c>
      <c r="FA58" s="149">
        <f t="shared" si="91"/>
        <v>24</v>
      </c>
      <c r="FB58" s="149" t="str">
        <f t="shared" si="91"/>
        <v/>
      </c>
      <c r="FC58" s="149" t="str">
        <f t="shared" si="91"/>
        <v/>
      </c>
      <c r="FD58" s="149" t="str">
        <f t="shared" si="92"/>
        <v/>
      </c>
      <c r="FE58" s="149" t="str">
        <f t="shared" si="92"/>
        <v/>
      </c>
      <c r="FF58" s="149" t="str">
        <f t="shared" si="92"/>
        <v/>
      </c>
      <c r="FG58" s="149" t="str">
        <f t="shared" si="92"/>
        <v/>
      </c>
      <c r="FH58" s="149" t="str">
        <f t="shared" si="92"/>
        <v/>
      </c>
      <c r="FI58" s="149" t="str">
        <f t="shared" si="92"/>
        <v/>
      </c>
      <c r="FJ58" s="149" t="str">
        <f t="shared" si="92"/>
        <v/>
      </c>
      <c r="FK58" s="149" t="str">
        <f t="shared" si="92"/>
        <v/>
      </c>
      <c r="FL58" s="149" t="str">
        <f t="shared" si="92"/>
        <v/>
      </c>
      <c r="FM58" s="149" t="str">
        <f t="shared" si="92"/>
        <v/>
      </c>
      <c r="FN58" s="149" t="str">
        <f t="shared" si="93"/>
        <v/>
      </c>
      <c r="FO58" s="149" t="str">
        <f t="shared" si="93"/>
        <v/>
      </c>
      <c r="FP58" s="149" t="str">
        <f t="shared" si="93"/>
        <v/>
      </c>
      <c r="FQ58" s="149" t="str">
        <f t="shared" si="93"/>
        <v/>
      </c>
      <c r="FR58" s="149" t="str">
        <f t="shared" si="93"/>
        <v/>
      </c>
      <c r="FS58" s="149" t="str">
        <f t="shared" si="93"/>
        <v/>
      </c>
      <c r="FT58" s="149" t="str">
        <f t="shared" si="93"/>
        <v/>
      </c>
      <c r="FU58" s="149" t="str">
        <f t="shared" si="93"/>
        <v/>
      </c>
      <c r="FV58" s="149" t="str">
        <f t="shared" si="93"/>
        <v/>
      </c>
      <c r="FW58" s="149" t="str">
        <f t="shared" si="93"/>
        <v/>
      </c>
      <c r="FX58" s="149" t="str">
        <f t="shared" si="94"/>
        <v/>
      </c>
      <c r="FY58" s="149" t="str">
        <f t="shared" si="94"/>
        <v/>
      </c>
      <c r="FZ58" s="149" t="str">
        <f t="shared" si="94"/>
        <v/>
      </c>
      <c r="GA58" s="149" t="str">
        <f t="shared" si="94"/>
        <v/>
      </c>
      <c r="GB58" s="149" t="str">
        <f t="shared" si="94"/>
        <v/>
      </c>
      <c r="GC58" s="149" t="str">
        <f t="shared" si="94"/>
        <v/>
      </c>
      <c r="GD58" s="149" t="str">
        <f t="shared" si="94"/>
        <v/>
      </c>
      <c r="GE58" s="149" t="str">
        <f t="shared" si="94"/>
        <v/>
      </c>
      <c r="GF58" s="149">
        <f t="shared" si="33"/>
        <v>0</v>
      </c>
      <c r="GG58" s="149">
        <f t="shared" si="22"/>
        <v>0.66666666666666663</v>
      </c>
      <c r="GH58" s="149">
        <f t="shared" si="23"/>
        <v>1</v>
      </c>
      <c r="GI58" s="149">
        <f t="shared" si="24"/>
        <v>1</v>
      </c>
      <c r="GJ58" s="149">
        <f t="shared" si="25"/>
        <v>0.2857142857142857</v>
      </c>
      <c r="GK58" s="149">
        <f t="shared" si="34"/>
        <v>1</v>
      </c>
      <c r="GL58" s="149">
        <f t="shared" si="15"/>
        <v>0</v>
      </c>
      <c r="GM58" s="149">
        <f t="shared" si="16"/>
        <v>8.3333333333333321</v>
      </c>
      <c r="GN58" s="149">
        <f t="shared" si="17"/>
        <v>8.3333333333333321</v>
      </c>
      <c r="GO58" s="149">
        <f t="shared" si="18"/>
        <v>16.666666666666664</v>
      </c>
      <c r="GP58" s="149">
        <f t="shared" si="19"/>
        <v>8.3333333333333321</v>
      </c>
      <c r="GQ58" s="149">
        <f t="shared" si="19"/>
        <v>58.333333333333336</v>
      </c>
      <c r="GR58" s="153">
        <f t="shared" si="124"/>
        <v>100</v>
      </c>
      <c r="GS58" s="149" t="str">
        <f t="shared" si="37"/>
        <v>No Programó</v>
      </c>
      <c r="GT58" s="149">
        <f>+IF(OR($A58=52,$A58=124),1,IFERROR(IF($X58="Creciente",IF($AB58="Número",SUM($GL58:GM58)/SUM($DO58:DP58)*($AX58-$AW58),SUM($GL58:GM58)/SUM($DO58:DP58))*($AX58-$AW58),IF($DG58="Creciente",GM58*GM58/GM58,IF(AND($DG58="Constante",$AB58="Porcentaje"),AVERAGEIF($GL58:GM58,"&lt;&gt;0")/AVERAGEIF($DO58:DP58,"&lt;&gt;0")*100,SUM($GL58:GM58)/SUM($DO58:DP58)*$DU58))),GS58))</f>
        <v>66.666666666666657</v>
      </c>
      <c r="GU58" s="149">
        <f>+IF(OR($A58=52,$A58=124),1,IFERROR(IF($X58="Creciente",IF($AB58="Número",SUM($GL58:GN58)/SUM($DO58:DQ58)*($AX58-$AW58),SUM($GL58:GN58)/SUM($DO58:DQ58))*($AX58-$AW58),IF($DG58="Creciente",GN58*GN58/GN58,IF(AND($DG58="Constante",$AB58="Porcentaje"),AVERAGEIF($GL58:GN58,"&lt;&gt;0")/AVERAGEIF($DO58:DQ58,"&lt;&gt;0")*100,SUM($GL58:GN58)/SUM($DO58:DQ58)*$DU58))),GT58))</f>
        <v>80</v>
      </c>
      <c r="GV58" s="149">
        <f>+IF(OR($A58=52,$A58=124),1,IFERROR(IF($X58="Creciente",IF($AB58="Número",SUM($GL58:GO58)/SUM($DO58:DR58)*($AX58-$AW58),SUM($GL58:GO58)/SUM($DO58:DR58))*($AX58-$AW58),IF($DG58="Creciente",GO58*GO58/GO58,IF(AND($DG58="Constante",$AB58="Porcentaje"),AVERAGEIF($GL58:GO58,"&lt;&gt;0")/AVERAGEIF($DO58:DR58,"&lt;&gt;0")*100,SUM($GL58:GO58)/SUM($DO58:DR58)*$DU58))),GU58))</f>
        <v>88.888888888888872</v>
      </c>
      <c r="GW58" s="149">
        <f>+IF(OR($A58=52,$A58=124),1,IFERROR(IF($X58="Creciente",IF($AB58="Número",SUM($GL58:GP58)/SUM($DO58:DS58)*($AX58-$AW58),SUM($GL58:GP58)/SUM($DO58:DS58))*($AX58-$AW58),IF($DG58="Creciente",GP58*GP58/GP58,IF(AND($DG58="Constante",$AB58="Porcentaje"),AVERAGEIF($GL58:GP58,"&lt;&gt;0")/AVERAGEIF($DO58:DS58,"&lt;&gt;0")*100,SUM($GL58:GP58)/SUM($DO58:DS58)*$DU58))),GV58))</f>
        <v>62.499999999999979</v>
      </c>
      <c r="GX58" s="149">
        <f>+IF(OR($A58=52,$A58=124),1,IFERROR(IF($X58="Creciente",IF($AB58="Número",SUM($GL58:GQ58)/SUM($DO58:DT58)*($AX58-$AW58),SUM($GL58:GQ58)/SUM($DO58:DT58))*($AX58-$AW58),IF($DG58="Creciente",GQ58*GQ58/GQ58,IF(AND($DG58="Constante",$AB58="Porcentaje"),AVERAGEIF($GL58:GQ58,"&lt;&gt;0")/AVERAGEIF($DO58:DT58,"&lt;&gt;0")*100,SUM($GL58:GQ58)/SUM($DO58:DT58)*$DU58))),GW58))</f>
        <v>100</v>
      </c>
      <c r="GY58" s="149" t="str">
        <f t="shared" si="28"/>
        <v>Porcentaje de cumplimiento del Plan Estrategico de la Dirección de Talento Humano.</v>
      </c>
      <c r="GZ58" s="149" t="str">
        <f t="shared" si="29"/>
        <v xml:space="preserve">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cultura y educación. </v>
      </c>
      <c r="HA58" s="149" t="str">
        <f t="shared" si="30"/>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
      <c r="HB58" s="149" t="str">
        <f t="shared" si="31"/>
        <v>Listados de Asistencia
Registro fotografico
Informes trimestrales y el reporte de la información de los asistentes a las diferentes actividades.</v>
      </c>
      <c r="HC58" s="149" t="str">
        <f t="shared" si="127"/>
        <v>Cumple</v>
      </c>
      <c r="HD58" s="149" t="str">
        <f t="shared" si="127"/>
        <v>Deficiente</v>
      </c>
      <c r="HE58" s="149" t="str">
        <f t="shared" si="127"/>
        <v>No adecuado</v>
      </c>
      <c r="HF58" s="149" t="str">
        <f t="shared" si="127"/>
        <v>Coherente</v>
      </c>
      <c r="HG58" s="149" t="str">
        <f t="shared" si="127"/>
        <v>Concuerda</v>
      </c>
      <c r="HH58" s="149" t="str">
        <f t="shared" si="127"/>
        <v>Concuerda</v>
      </c>
      <c r="HI58" s="149" t="str">
        <f t="shared" si="127"/>
        <v>Relación directa</v>
      </c>
      <c r="HJ58" s="149" t="str">
        <f t="shared" si="127"/>
        <v>Adecuado</v>
      </c>
      <c r="HK58" s="149" t="str">
        <f t="shared" si="127"/>
        <v>Oportuna</v>
      </c>
      <c r="HL58" s="149" t="str">
        <f t="shared" si="127"/>
        <v xml:space="preserve">1. Se evidencia un avance cuantitativo del Indicador del 41.67% con corte a 31 de mayo de 2020, teniendo en cuenta que seis (6) de las actividades programadas para el periodo evaluado, no se llevaron a cabo como se tenían programadas, se realizó su respectiva reprogramación.
</v>
      </c>
      <c r="HM58" s="149" t="str">
        <f t="shared" si="128"/>
        <v>Bibiana Rodríguez González</v>
      </c>
      <c r="HN58" s="149" t="str">
        <f t="shared" si="128"/>
        <v>Cumple</v>
      </c>
      <c r="HO58" s="149" t="str">
        <f t="shared" si="128"/>
        <v>Cumplido</v>
      </c>
      <c r="HP58" s="149" t="str">
        <f t="shared" si="128"/>
        <v>Adecuado</v>
      </c>
      <c r="HQ58" s="149" t="str">
        <f t="shared" si="128"/>
        <v>Coherente</v>
      </c>
      <c r="HR58" s="149" t="str">
        <f t="shared" si="128"/>
        <v>Concuerda</v>
      </c>
      <c r="HS58" s="149" t="str">
        <f t="shared" si="128"/>
        <v>No aplica</v>
      </c>
      <c r="HT58" s="149" t="str">
        <f t="shared" si="128"/>
        <v>Relación directa</v>
      </c>
      <c r="HU58" s="149" t="str">
        <f t="shared" si="128"/>
        <v>Adecuado</v>
      </c>
      <c r="HV58" s="149" t="str">
        <f t="shared" si="128"/>
        <v>Oportuna</v>
      </c>
      <c r="HW58" s="149" t="str">
        <f t="shared" si="128"/>
        <v>No aplica</v>
      </c>
      <c r="HX58" s="149" t="str">
        <f t="shared" si="128"/>
        <v>Bibiana Rodríguez González</v>
      </c>
    </row>
    <row r="59" spans="1:232" x14ac:dyDescent="0.3">
      <c r="A59" s="225">
        <v>120</v>
      </c>
      <c r="B59" s="146" t="s">
        <v>1144</v>
      </c>
      <c r="C59" s="146" t="s">
        <v>1144</v>
      </c>
      <c r="D59" s="146" t="s">
        <v>1144</v>
      </c>
      <c r="E59" s="146" t="s">
        <v>1144</v>
      </c>
      <c r="F59" s="136" t="s">
        <v>1674</v>
      </c>
      <c r="G59" s="146" t="s">
        <v>1144</v>
      </c>
      <c r="H59" s="146" t="s">
        <v>1144</v>
      </c>
      <c r="I59" s="149" t="s">
        <v>1146</v>
      </c>
      <c r="J59" s="154" t="s">
        <v>134</v>
      </c>
      <c r="K59" s="154" t="s">
        <v>135</v>
      </c>
      <c r="L59" s="154" t="s">
        <v>136</v>
      </c>
      <c r="M59" s="154" t="s">
        <v>1413</v>
      </c>
      <c r="N59" s="154" t="s">
        <v>1655</v>
      </c>
      <c r="O59" s="154" t="s">
        <v>1675</v>
      </c>
      <c r="P59" s="148" t="s">
        <v>1674</v>
      </c>
      <c r="Q59" s="154" t="s">
        <v>1676</v>
      </c>
      <c r="R59" s="154" t="s">
        <v>1677</v>
      </c>
      <c r="S59" s="154" t="s">
        <v>1678</v>
      </c>
      <c r="T59" s="154" t="s">
        <v>1679</v>
      </c>
      <c r="U59" s="154" t="s">
        <v>1680</v>
      </c>
      <c r="V59" s="154" t="s">
        <v>1676</v>
      </c>
      <c r="W59" s="148" t="s">
        <v>661</v>
      </c>
      <c r="X59" s="154" t="s">
        <v>661</v>
      </c>
      <c r="Y59" s="154" t="s">
        <v>1681</v>
      </c>
      <c r="Z59" s="154" t="s">
        <v>1682</v>
      </c>
      <c r="AA59" s="154" t="s">
        <v>1683</v>
      </c>
      <c r="AB59" s="154" t="s">
        <v>602</v>
      </c>
      <c r="AC59" s="154" t="s">
        <v>1293</v>
      </c>
      <c r="AD59" s="154" t="s">
        <v>1160</v>
      </c>
      <c r="AE59" s="154">
        <v>2016</v>
      </c>
      <c r="AF59" s="154">
        <v>0</v>
      </c>
      <c r="AG59" s="154">
        <v>2016</v>
      </c>
      <c r="AH59" s="154">
        <v>0</v>
      </c>
      <c r="AI59" s="154">
        <v>0</v>
      </c>
      <c r="AJ59" s="154">
        <v>0</v>
      </c>
      <c r="AK59" s="154">
        <v>1</v>
      </c>
      <c r="AL59" s="218">
        <v>0.49</v>
      </c>
      <c r="AM59" s="154">
        <v>0</v>
      </c>
      <c r="AN59" s="146" t="s">
        <v>1144</v>
      </c>
      <c r="AO59" s="146" t="s">
        <v>1144</v>
      </c>
      <c r="AP59" s="146" t="s">
        <v>1144</v>
      </c>
      <c r="AQ59" s="146" t="s">
        <v>1144</v>
      </c>
      <c r="AR59" s="146" t="s">
        <v>1144</v>
      </c>
      <c r="AS59" s="150" t="s">
        <v>1144</v>
      </c>
      <c r="AT59" s="232">
        <v>0</v>
      </c>
      <c r="AU59" s="232">
        <v>0</v>
      </c>
      <c r="AV59" s="232">
        <v>0</v>
      </c>
      <c r="AW59" s="232">
        <v>100</v>
      </c>
      <c r="AX59" s="211">
        <v>100</v>
      </c>
      <c r="AY59" s="232">
        <v>0</v>
      </c>
      <c r="AZ59" s="149"/>
      <c r="BA59" s="149"/>
      <c r="BB59" s="149"/>
      <c r="BC59" s="149"/>
      <c r="BD59" s="149">
        <v>0</v>
      </c>
      <c r="BE59" s="149"/>
      <c r="BF59" s="149"/>
      <c r="BG59" s="149"/>
      <c r="BH59" s="149"/>
      <c r="BI59" s="149"/>
      <c r="BJ59" s="149">
        <v>0</v>
      </c>
      <c r="BK59" s="146" t="s">
        <v>1144</v>
      </c>
      <c r="BL59" s="146" t="s">
        <v>1144</v>
      </c>
      <c r="BM59" s="146" t="s">
        <v>1144</v>
      </c>
      <c r="BN59" s="146" t="s">
        <v>1144</v>
      </c>
      <c r="BO59" s="146" t="s">
        <v>1144</v>
      </c>
      <c r="BP59" s="146" t="s">
        <v>1144</v>
      </c>
      <c r="BQ59" s="146" t="s">
        <v>1144</v>
      </c>
      <c r="BR59" s="146" t="s">
        <v>1144</v>
      </c>
      <c r="BS59" s="146" t="s">
        <v>1144</v>
      </c>
      <c r="BT59" s="146" t="s">
        <v>1144</v>
      </c>
      <c r="BU59" s="146" t="s">
        <v>1144</v>
      </c>
      <c r="BV59" s="146" t="s">
        <v>1144</v>
      </c>
      <c r="BW59" s="154" t="s">
        <v>1144</v>
      </c>
      <c r="BX59" s="154" t="s">
        <v>1144</v>
      </c>
      <c r="BY59" s="154" t="s">
        <v>1144</v>
      </c>
      <c r="BZ59" s="154">
        <v>1</v>
      </c>
      <c r="CA59" s="154" t="s">
        <v>1144</v>
      </c>
      <c r="CB59" s="154" t="s">
        <v>1144</v>
      </c>
      <c r="CC59" s="154" t="s">
        <v>1144</v>
      </c>
      <c r="CD59" s="219">
        <v>1</v>
      </c>
      <c r="CE59" s="219" t="s">
        <v>304</v>
      </c>
      <c r="CF59" s="154" t="s">
        <v>1144</v>
      </c>
      <c r="CG59" s="154" t="s">
        <v>1144</v>
      </c>
      <c r="CH59" s="154" t="s">
        <v>1144</v>
      </c>
      <c r="CI59" s="154" t="s">
        <v>1144</v>
      </c>
      <c r="CJ59" s="154" t="s">
        <v>1144</v>
      </c>
      <c r="CK59" s="154" t="s">
        <v>1144</v>
      </c>
      <c r="CL59" s="154" t="s">
        <v>1144</v>
      </c>
      <c r="CM59" s="154" t="s">
        <v>1144</v>
      </c>
      <c r="CN59" s="154" t="s">
        <v>1144</v>
      </c>
      <c r="CO59" s="154" t="s">
        <v>1144</v>
      </c>
      <c r="CP59" s="154" t="s">
        <v>1144</v>
      </c>
      <c r="CQ59" s="154" t="s">
        <v>1144</v>
      </c>
      <c r="CR59" s="154" t="s">
        <v>1144</v>
      </c>
      <c r="CS59" s="154" t="s">
        <v>1144</v>
      </c>
      <c r="CT59" s="154" t="s">
        <v>1144</v>
      </c>
      <c r="CU59" s="154" t="s">
        <v>1144</v>
      </c>
      <c r="CV59" s="154" t="s">
        <v>1144</v>
      </c>
      <c r="CW59" s="154" t="s">
        <v>1144</v>
      </c>
      <c r="CX59" s="154" t="s">
        <v>1144</v>
      </c>
      <c r="CY59" s="154" t="s">
        <v>1144</v>
      </c>
      <c r="CZ59" s="154" t="s">
        <v>1144</v>
      </c>
      <c r="DA59" s="154" t="s">
        <v>1144</v>
      </c>
      <c r="DB59" s="152" t="str">
        <f t="shared" si="32"/>
        <v xml:space="preserve">Plan de Acción, SGC, PROCESO: Gestión de Servicios Administrativos, </v>
      </c>
      <c r="DC59" s="149" t="str">
        <f t="shared" si="88"/>
        <v>Este indicador mide la ejecución de los programas para el cumplimiento del plan de acción aprobado por el Comité de Seguridad Vial de la Secretaría General en concordancia a lo establecido por la Secretaría de Movilidad.</v>
      </c>
      <c r="DD59" s="149" t="str">
        <f t="shared" si="88"/>
        <v>Planear, ejecutar y hacer seguimiento al Plan de acción establecido para la Secretaría General.</v>
      </c>
      <c r="DE59" s="149" t="str">
        <f t="shared" si="88"/>
        <v>Reducción de accidentalidad en todos los actores de la via, creación de cultura vial y concientización a los usuarios.</v>
      </c>
      <c r="DF59" s="149" t="str">
        <f t="shared" si="88"/>
        <v xml:space="preserve">Cronograma de plan de acción de la Vigencia, registros fílmicos,  fotográficos y evidencias de reunión y actividades realizadas. </v>
      </c>
      <c r="DG59" s="149" t="str">
        <f t="shared" si="88"/>
        <v>Suma</v>
      </c>
      <c r="DH59" s="149">
        <f t="shared" ref="DH59:DH69" si="129">+IF(VLOOKUP($A59,consolidado,MATCH(DH$5,consolidadofila,0),0)=0,DU59,VLOOKUP($A59,consolidado,MATCH(DH$5,consolidadofila,0),0))</f>
        <v>49</v>
      </c>
      <c r="DI59" s="149">
        <f t="shared" ref="DI59:DI69" si="130">+VLOOKUP($A59,consolidado,MATCH(DO$5,consolidadofila,0),0)</f>
        <v>7</v>
      </c>
      <c r="DJ59" s="149">
        <f t="shared" ref="DJ59:DJ69" si="131">+VLOOKUP($A59,consolidado,MATCH(DP$5,consolidadofila,0),0)</f>
        <v>6</v>
      </c>
      <c r="DK59" s="149">
        <f t="shared" ref="DK59:DK69" si="132">+VLOOKUP($A59,consolidado,MATCH(DQ$5,consolidadofila,0),0)</f>
        <v>13</v>
      </c>
      <c r="DL59" s="149">
        <f t="shared" ref="DL59:DL69" si="133">+VLOOKUP($A59,consolidado,MATCH(DR$5,consolidadofila,0),0)</f>
        <v>7</v>
      </c>
      <c r="DM59" s="149">
        <f t="shared" ref="DM59:DM69" si="134">+VLOOKUP($A59,consolidado,MATCH(DS$5,consolidadofila,0),0)</f>
        <v>0</v>
      </c>
      <c r="DN59" s="149">
        <f t="shared" ref="DN59:DN69" si="135">+VLOOKUP($A59,consolidado,MATCH(DT$5,consolidadofila,0),0)</f>
        <v>16</v>
      </c>
      <c r="DO59" s="149">
        <f t="shared" si="100"/>
        <v>14.285714285714285</v>
      </c>
      <c r="DP59" s="149">
        <f t="shared" si="100"/>
        <v>12.244897959183673</v>
      </c>
      <c r="DQ59" s="149">
        <f t="shared" si="100"/>
        <v>26.530612244897959</v>
      </c>
      <c r="DR59" s="149">
        <f t="shared" si="100"/>
        <v>14.285714285714285</v>
      </c>
      <c r="DS59" s="149">
        <f t="shared" si="100"/>
        <v>0</v>
      </c>
      <c r="DT59" s="149">
        <f t="shared" si="100"/>
        <v>32.653061224489797</v>
      </c>
      <c r="DU59" s="149">
        <f t="shared" si="89"/>
        <v>100</v>
      </c>
      <c r="DV59" s="149">
        <f t="shared" si="89"/>
        <v>7</v>
      </c>
      <c r="DW59" s="149">
        <f t="shared" si="89"/>
        <v>7</v>
      </c>
      <c r="DX59" s="149" t="str">
        <f t="shared" si="89"/>
        <v>Actualización del Plan Estratégico de Seguridad Vial de acuerdo con la normatividad vigente.</v>
      </c>
      <c r="DY59" s="149" t="str">
        <f t="shared" si="89"/>
        <v>El retraso que se ha tenido ha sido la diferencia de criterios entre  la oficina de planeación y la oficina de control interno con respecto al Comité de Seguridad Vial.
Se planteó como solución por parte de la DAF, realizar una reunión trimestral con un equipo de trabajo, para dar solución a las interpretaciones en loas 2 oficinas asesora.</v>
      </c>
      <c r="DZ59" s="149" t="str">
        <f t="shared" si="89"/>
        <v>Acciones, estrategias y medidas actualizadas acorde a la normatividad legal vigente y a las necesidades de la entidad permitiendo así disminuir la accidentalidad en la Secretaría General</v>
      </c>
      <c r="EA59" s="149">
        <f t="shared" si="89"/>
        <v>6</v>
      </c>
      <c r="EB59" s="149">
        <f t="shared" si="89"/>
        <v>6</v>
      </c>
      <c r="EC59" s="149" t="str">
        <f t="shared" si="89"/>
        <v>Se continúa con la actualización del Plan Estratégico de Seguridad Vial de acuerdo con la normatividad vigente y se da inicio a la planeación de campañas de sensibilización para los servidores de la entidad.</v>
      </c>
      <c r="ED59" s="149" t="str">
        <f t="shared" si="89"/>
        <v>N.A</v>
      </c>
      <c r="EE59" s="149" t="str">
        <f t="shared" si="90"/>
        <v>Acciones, estrategias y medidas actualizadas acorde a la normatividad legal vigente y a las necesidades de la entidad permitiendo así disminuir la accidentalidad en la Secretaría General y un(os) servidor(es) con conocimientos en Seguridad Vial</v>
      </c>
      <c r="EF59" s="149">
        <f t="shared" si="90"/>
        <v>13</v>
      </c>
      <c r="EG59" s="149">
        <f t="shared" si="90"/>
        <v>13</v>
      </c>
      <c r="EH59" s="149" t="str">
        <f t="shared" si="90"/>
        <v xml:space="preserve">Se continúo con la actualización del Plan Estratégico de Seguridad Vial de acuerdo con la normatividad vigente
Se planeo y ejecuto las campañas de sensibilización de Bicipensante en las sedes  Archivo de Bogotá y Manzana Liévano
Se consolidó y analizó el informe de consumo de combustible y los formatos de chequeo preoperacional de los vehículos del parque automotor 
Se realizó seguimiento a los incidentes de tránsito 
Consolidar y analizar el Informe mantenimiento vehículos.
</v>
      </c>
      <c r="EI59" s="149" t="str">
        <f t="shared" si="90"/>
        <v>N.A</v>
      </c>
      <c r="EJ59" s="149" t="str">
        <f t="shared" si="90"/>
        <v>Acciones, estrategias y medidas actualizadas acorde a la normatividad legal vigente
Servidores sensibilizados sobre la importancia del autocuidado con los actores viales en el espacio público
Verificación de controles en el consumo de combustible en el parque automotor de la Secretaría
Verificación de los incidentes presentados con el fin de prevenir o reducir al mínimo el riesgo de incidentes y las consecuencias de estos</v>
      </c>
      <c r="EK59" s="149">
        <f t="shared" si="90"/>
        <v>7</v>
      </c>
      <c r="EL59" s="149">
        <f t="shared" si="90"/>
        <v>7</v>
      </c>
      <c r="EM59" s="149" t="str">
        <f t="shared" si="90"/>
        <v>Se actualizó el Plan Estratégico de Seguridad Vial de acuerdo con la normatividad vigente y se presentó el informe de gestión de este</v>
      </c>
      <c r="EN59" s="149" t="str">
        <f t="shared" si="90"/>
        <v>N.A</v>
      </c>
      <c r="EO59" s="149" t="str">
        <f t="shared" si="91"/>
        <v>Plan Estratégico de Seguridad Vial actualizado</v>
      </c>
      <c r="EP59" s="149">
        <f t="shared" si="91"/>
        <v>0</v>
      </c>
      <c r="EQ59" s="149">
        <f t="shared" si="91"/>
        <v>0</v>
      </c>
      <c r="ER59" s="149" t="str">
        <f t="shared" si="91"/>
        <v>Para el mes de mayo no se tiene actividades programadas</v>
      </c>
      <c r="ES59" s="149" t="str">
        <f t="shared" si="91"/>
        <v>N.A</v>
      </c>
      <c r="ET59" s="149" t="str">
        <f t="shared" si="91"/>
        <v>N.A</v>
      </c>
      <c r="EU59" s="149">
        <f t="shared" si="125"/>
        <v>9</v>
      </c>
      <c r="EV59" s="149">
        <f t="shared" si="125"/>
        <v>16</v>
      </c>
      <c r="EW59" s="149" t="str">
        <f t="shared" si="125"/>
        <v>1. Se actualizó el PESV, se encuentra pendiente la publicación del mismo en la página de la Entidad. 2. Se realizó el informe de gestión, mas sin embargo el mismo no se ha finalizado debido a que falta información sobre los mantenimientos realizados la cual no ha sido entregada por la SSA. 3. La capacitación para los conductores presentó inconvenientes ya que debió ser virtual, se adjunta informe emitido por talento Humano - PIC. 4. Se realizarón las campañas de sensibilización de manera virtual debido a la contingencia sanitaria. 5. Se realizó la sensibilización en la reinduciión a los servidores de la Entidad, la cual fue virtual. 6. Se realizó el análisis de los consumos de combustible. 7. Se entregaron las planillas de chequeo preoperacional y se realizó el respectivo análisis. 8. No ha sido posible actualizar la información de los mantenimientos realizados para el mes de junio ya que la información no ha sido suministrada por la SSA. 9. Se instalarón los planos en la Sala de conductores para el análisis de rutas seguras. 10. Se realizó seguimiento a los veh´ciulos de la Entidad, los cuales no presentaron accidentes o incidentes de tránsito en el mes de Junio.</v>
      </c>
      <c r="EX59" s="149" t="str">
        <f t="shared" si="125"/>
        <v>El retraso es debido a que el contratista no radicó la factura de los mantenimientos ejecutados en el mes de Junio, por consiguiente no fue posible tener acceso a la información, afectando el cumplimiento mensual en un 2%. 
Por necesidades del servicio los conductores no pudieron atender las actividades de la capacitación, afectando el cumplimiento mensual en un 5%.</v>
      </c>
      <c r="EY59" s="149" t="str">
        <f t="shared" si="125"/>
        <v>La mayoría de la información se encuentra al día, lo cual permite ejercer control sobre los consumos  y presentación de informes como lo es el de austeridad del gasto</v>
      </c>
      <c r="EZ59" s="149">
        <f t="shared" si="91"/>
        <v>42</v>
      </c>
      <c r="FA59" s="149">
        <f t="shared" si="91"/>
        <v>49</v>
      </c>
      <c r="FB59" s="149">
        <f t="shared" si="91"/>
        <v>0</v>
      </c>
      <c r="FC59" s="149">
        <f t="shared" si="91"/>
        <v>0</v>
      </c>
      <c r="FD59" s="149">
        <f t="shared" si="92"/>
        <v>0</v>
      </c>
      <c r="FE59" s="149">
        <f t="shared" si="92"/>
        <v>0</v>
      </c>
      <c r="FF59" s="149">
        <f t="shared" si="92"/>
        <v>0</v>
      </c>
      <c r="FG59" s="149">
        <f t="shared" si="92"/>
        <v>0</v>
      </c>
      <c r="FH59" s="149">
        <f t="shared" si="92"/>
        <v>0</v>
      </c>
      <c r="FI59" s="149">
        <f t="shared" si="92"/>
        <v>0</v>
      </c>
      <c r="FJ59" s="149">
        <f t="shared" si="92"/>
        <v>0</v>
      </c>
      <c r="FK59" s="149">
        <f t="shared" si="92"/>
        <v>0</v>
      </c>
      <c r="FL59" s="149">
        <f t="shared" si="92"/>
        <v>0</v>
      </c>
      <c r="FM59" s="149">
        <f t="shared" si="92"/>
        <v>0</v>
      </c>
      <c r="FN59" s="149">
        <f t="shared" si="93"/>
        <v>0</v>
      </c>
      <c r="FO59" s="149">
        <f t="shared" si="93"/>
        <v>0</v>
      </c>
      <c r="FP59" s="149">
        <f t="shared" si="93"/>
        <v>0</v>
      </c>
      <c r="FQ59" s="149">
        <f t="shared" si="93"/>
        <v>0</v>
      </c>
      <c r="FR59" s="149">
        <f t="shared" si="93"/>
        <v>0</v>
      </c>
      <c r="FS59" s="149">
        <f t="shared" si="93"/>
        <v>0</v>
      </c>
      <c r="FT59" s="149">
        <f t="shared" si="93"/>
        <v>0</v>
      </c>
      <c r="FU59" s="149">
        <f t="shared" si="93"/>
        <v>0</v>
      </c>
      <c r="FV59" s="149">
        <f t="shared" si="93"/>
        <v>0</v>
      </c>
      <c r="FW59" s="149">
        <f t="shared" si="93"/>
        <v>0</v>
      </c>
      <c r="FX59" s="149">
        <f t="shared" si="94"/>
        <v>0</v>
      </c>
      <c r="FY59" s="149">
        <f t="shared" si="94"/>
        <v>0</v>
      </c>
      <c r="FZ59" s="149">
        <f t="shared" si="94"/>
        <v>0</v>
      </c>
      <c r="GA59" s="149">
        <f t="shared" si="94"/>
        <v>0</v>
      </c>
      <c r="GB59" s="149">
        <f t="shared" si="94"/>
        <v>0</v>
      </c>
      <c r="GC59" s="149">
        <f t="shared" si="94"/>
        <v>0</v>
      </c>
      <c r="GD59" s="149">
        <f t="shared" si="94"/>
        <v>0</v>
      </c>
      <c r="GE59" s="149">
        <f t="shared" si="94"/>
        <v>0</v>
      </c>
      <c r="GF59" s="149">
        <f t="shared" ref="GF59:GF69" si="136">+IFERROR(IF(DW59=0,DV59/DO59,DV59/DW59),DV59)</f>
        <v>1</v>
      </c>
      <c r="GG59" s="149">
        <f t="shared" ref="GG59:GG69" si="137">+IFERROR(IF(EB59=0,EA59/DP59,EA59/EB59),EA59)</f>
        <v>1</v>
      </c>
      <c r="GH59" s="149">
        <f t="shared" ref="GH59:GH69" si="138">+IFERROR(IF(EG59=0,EF59/DQ59,EF59/EG59),EF59)</f>
        <v>1</v>
      </c>
      <c r="GI59" s="149">
        <f t="shared" ref="GI59:GI69" si="139">+IFERROR(IF(EL59=0,EK59/DR59,EK59/EL59),EK59)</f>
        <v>1</v>
      </c>
      <c r="GJ59" s="149">
        <f t="shared" ref="GJ59:GJ69" si="140">+IFERROR(IF(EQ59=0,EP59/DS59,EP59/EQ59),EP59)</f>
        <v>0</v>
      </c>
      <c r="GK59" s="149">
        <f t="shared" ref="GK59:GK69" si="141">+IF(FA59=0,EZ59,EZ59/FA59)</f>
        <v>0.8571428571428571</v>
      </c>
      <c r="GL59" s="149">
        <f t="shared" ref="GL59:GL69" si="142">+IF($A59=52,1,IFERROR(IF(OR($DG59="Constante",$DG59="Creciente"),IFERROR(IF(VLOOKUP($A59,bd,MATCH(GL$3,bdfila,0),0)="",0,VLOOKUP($A59,bd,MATCH(GL$3,bdfila,0),0))/(IF(VLOOKUP($A59,bd,MATCH(GL$2,bdfila,0),0)="",0,VLOOKUP($A59,bd,MATCH(GL$2,bdfila,0),0))),IF(VLOOKUP($A59,bd,MATCH(GL$3,bdfila,0),0)="",0,VLOOKUP($A59,bd,MATCH(GL$3,bdfila,0),0))/DI59),IF(VLOOKUP($A59,bd,MATCH(GL$3,bdfila,0),0)="",0,VLOOKUP($A59,bd,MATCH(GL$3,bdfila,0),0))/$DH59/IF($X59="Constante",1,1)),IF(VLOOKUP($A59,bd,MATCH(GL$3,bdfila,0),0)="",0,VLOOKUP($A59,bd,MATCH(GL$3,bdfila,0),0))/$DH59))*100</f>
        <v>14.285714285714285</v>
      </c>
      <c r="GM59" s="149">
        <f t="shared" ref="GM59:GM69" si="143">+IF($A59=52,1,IFERROR(IF(OR($DG59="Constante",$DG59="Creciente"),IFERROR(IF(VLOOKUP($A59,bd,MATCH(GM$3,bdfila,0),0)="",0,VLOOKUP($A59,bd,MATCH(GM$3,bdfila,0),0))/(IF(VLOOKUP($A59,bd,MATCH(GM$2,bdfila,0),0)="",0,VLOOKUP($A59,bd,MATCH(GM$2,bdfila,0),0))),IF(VLOOKUP($A59,bd,MATCH(GM$3,bdfila,0),0)="",0,VLOOKUP($A59,bd,MATCH(GM$3,bdfila,0),0))/DJ59),IF(VLOOKUP($A59,bd,MATCH(GM$3,bdfila,0),0)="",0,VLOOKUP($A59,bd,MATCH(GM$3,bdfila,0),0))/$DH59/IF($X59="Constante",1,1)),IF(VLOOKUP($A59,bd,MATCH(GM$3,bdfila,0),0)="",0,VLOOKUP($A59,bd,MATCH(GM$3,bdfila,0),0))/$DH59))*100</f>
        <v>12.244897959183673</v>
      </c>
      <c r="GN59" s="149">
        <f t="shared" ref="GN59:GN69" si="144">+IF($A59=52,1,IFERROR(IF(OR($DG59="Constante",$DG59="Creciente"),IFERROR(IF(VLOOKUP($A59,bd,MATCH(GN$3,bdfila,0),0)="",0,VLOOKUP($A59,bd,MATCH(GN$3,bdfila,0),0))/(IF(VLOOKUP($A59,bd,MATCH(GN$2,bdfila,0),0)="",0,VLOOKUP($A59,bd,MATCH(GN$2,bdfila,0),0))),IF(VLOOKUP($A59,bd,MATCH(GN$3,bdfila,0),0)="",0,VLOOKUP($A59,bd,MATCH(GN$3,bdfila,0),0))/DK59),IF(VLOOKUP($A59,bd,MATCH(GN$3,bdfila,0),0)="",0,VLOOKUP($A59,bd,MATCH(GN$3,bdfila,0),0))/$DH59/IF($X59="Constante",1,1)),IF(VLOOKUP($A59,bd,MATCH(GN$3,bdfila,0),0)="",0,VLOOKUP($A59,bd,MATCH(GN$3,bdfila,0),0))/$DH59))*100</f>
        <v>26.530612244897959</v>
      </c>
      <c r="GO59" s="149">
        <f t="shared" ref="GO59:GO69" si="145">+IF($A59=52,1,IFERROR(IF(OR($DG59="Constante",$DG59="Creciente"),IFERROR(IF(VLOOKUP($A59,bd,MATCH(GO$3,bdfila,0),0)="",0,VLOOKUP($A59,bd,MATCH(GO$3,bdfila,0),0))/(IF(VLOOKUP($A59,bd,MATCH(GO$2,bdfila,0),0)="",0,VLOOKUP($A59,bd,MATCH(GO$2,bdfila,0),0))),IF(VLOOKUP($A59,bd,MATCH(GO$3,bdfila,0),0)="",0,VLOOKUP($A59,bd,MATCH(GO$3,bdfila,0),0))/DL59),IF(VLOOKUP($A59,bd,MATCH(GO$3,bdfila,0),0)="",0,VLOOKUP($A59,bd,MATCH(GO$3,bdfila,0),0))/$DH59/IF($X59="Constante",1,1)),IF(VLOOKUP($A59,bd,MATCH(GO$3,bdfila,0),0)="",0,VLOOKUP($A59,bd,MATCH(GO$3,bdfila,0),0))/$DH59))*100</f>
        <v>14.285714285714285</v>
      </c>
      <c r="GP59" s="149">
        <f t="shared" ref="GP59:GQ69" si="146">+IF($A59=52,1,IFERROR(IF(OR($DG59="Constante",$DG59="Creciente"),IFERROR(IF(VLOOKUP($A59,bd,MATCH(GP$3,bdfila,0),0)="",0,VLOOKUP($A59,bd,MATCH(GP$3,bdfila,0),0))/(IF(VLOOKUP($A59,bd,MATCH(GP$2,bdfila,0),0)="",0,VLOOKUP($A59,bd,MATCH(GP$2,bdfila,0),0))),IF(VLOOKUP($A59,bd,MATCH(GP$3,bdfila,0),0)="",0,VLOOKUP($A59,bd,MATCH(GP$3,bdfila,0),0))/DM59),IF(VLOOKUP($A59,bd,MATCH(GP$3,bdfila,0),0)="",0,VLOOKUP($A59,bd,MATCH(GP$3,bdfila,0),0))/$DH59/IF($X59="Constante",1,1)),IF(VLOOKUP($A59,bd,MATCH(GP$3,bdfila,0),0)="",0,VLOOKUP($A59,bd,MATCH(GP$3,bdfila,0),0))/$DH59))*100</f>
        <v>0</v>
      </c>
      <c r="GQ59" s="149">
        <f t="shared" si="146"/>
        <v>18.367346938775512</v>
      </c>
      <c r="GR59" s="153">
        <f t="shared" si="124"/>
        <v>85.714285714285722</v>
      </c>
      <c r="GS59" s="149">
        <f>+IF(OR($A59=120,$A59="120B"),100,IFERROR(IF($X59="Creciente",IF($AB59="Número",SUM(GL59)/SUM(DO59)*($AX59-$AW59),SUM(GL59)/SUM(DO59))*($AX59-$AW59),IF(AND($DG59="Constante",$AB59="Porcentaje"),AVERAGEIF(GL59,"&lt;&gt;0")/AVERAGEIF(DO59,"&lt;&gt;0")*100,SUM(GL59)/SUM(DO59)*$DU59)),"No Programó"))</f>
        <v>100</v>
      </c>
      <c r="GT59" s="149">
        <f>+IF(OR($A59=120,$A59="120B"),100,IFERROR(IF($X59="Creciente",IF($AB59="Número",SUM($GL59:GM59)/SUM($DO59:DP59)*($AX59-$AW59),SUM($GL59:GM59)/SUM($DO59:DP59))*($AX59-$AW59),IF($DG59="Creciente",GM59*GM59/GM59,IF(AND($DG59="Constante",$AB59="Porcentaje"),AVERAGEIF($GL59:GM59,"&lt;&gt;0")/AVERAGEIF($DO59:DP59,"&lt;&gt;0")*100,SUM($GL59:GM59)/SUM($DO59:DP59)*$DU59))),GS59))</f>
        <v>100</v>
      </c>
      <c r="GU59" s="149">
        <f>+IF(OR($A59=120,$A59=124),100,IFERROR(IF($X59="Creciente",IF($AB59="Número",SUM($GL59:GN59)/SUM($DO59:DQ59)*($AX59-$AW59),SUM($GL59:GN59)/SUM($DO59:DQ59))*($AX59-$AW59),IF($DG59="Creciente",GN59*GN59/GN59,IF(AND($DG59="Constante",$AB59="Porcentaje"),AVERAGEIF($GL59:GN59,"&lt;&gt;0")/AVERAGEIF($DO59:DQ59,"&lt;&gt;0")*100,SUM($GL59:GN59)/SUM($DO59:DQ59)*$DU59))),GT59))</f>
        <v>100</v>
      </c>
      <c r="GV59" s="149">
        <f>+IF(OR($A59=120,$A59=124),100,IFERROR(IF($X59="Creciente",IF($AB59="Número",SUM($GL59:GO59)/SUM($DO59:DR59)*($AX59-$AW59),SUM($GL59:GO59)/SUM($DO59:DR59))*($AX59-$AW59),IF($DG59="Creciente",GO59*GO59/GO59,IF(AND($DG59="Constante",$AB59="Porcentaje"),AVERAGEIF($GL59:GO59,"&lt;&gt;0")/AVERAGEIF($DO59:DR59,"&lt;&gt;0")*100,SUM($GL59:GO59)/SUM($DO59:DR59)*$DU59))),GU59))</f>
        <v>100</v>
      </c>
      <c r="GW59" s="149">
        <f>+IF(OR($A59=120,$A59=124),100,IFERROR(IF($X59="Creciente",IF($AB59="Número",SUM($GL59:GP59)/SUM($DO59:DS59)*($AX59-$AW59),SUM($GL59:GP59)/SUM($DO59:DS59))*($AX59-$AW59),IF($DG59="Creciente",GP59*GP59/GP59,IF(AND($DG59="Constante",$AB59="Porcentaje"),AVERAGEIF($GL59:GP59,"&lt;&gt;0")/AVERAGEIF($DO59:DS59,"&lt;&gt;0")*100,SUM($GL59:GP59)/SUM($DO59:DS59)*$DU59))),GV59))</f>
        <v>100</v>
      </c>
      <c r="GX59" s="149">
        <f>+IF(OR($A59=120,$A59=124),100,IFERROR(IF($X59="Creciente",IF($AB59="Número",SUM($GL59:GQ59)/SUM($DO59:DT59)*($AX59-$AW59),SUM($GL59:GQ59)/SUM($DO59:DT59))*($AX59-$AW59),IF($DG59="Creciente",GQ59*GQ59/GQ59,IF(AND($DG59="Constante",$AB59="Porcentaje"),AVERAGEIF($GL59:GQ59,"&lt;&gt;0")/AVERAGEIF($DO59:DT59,"&lt;&gt;0")*100,SUM($GL59:GQ59)/SUM($DO59:DT59)*$DU59))),GW59))</f>
        <v>100</v>
      </c>
      <c r="GY59" s="149" t="str">
        <f t="shared" ref="GY59:GY69" si="147">+DC59</f>
        <v>Este indicador mide la ejecución de los programas para el cumplimiento del plan de acción aprobado por el Comité de Seguridad Vial de la Secretaría General en concordancia a lo establecido por la Secretaría de Movilidad.</v>
      </c>
      <c r="GZ59" s="149" t="str">
        <f t="shared" ref="GZ59:GZ69" si="148">+DD59</f>
        <v>Planear, ejecutar y hacer seguimiento al Plan de acción establecido para la Secretaría General.</v>
      </c>
      <c r="HA59" s="149" t="str">
        <f t="shared" ref="HA59:HA69" si="149">+DE59</f>
        <v>Reducción de accidentalidad en todos los actores de la via, creación de cultura vial y concientización a los usuarios.</v>
      </c>
      <c r="HB59" s="149" t="str">
        <f t="shared" ref="HB59:HB69" si="150">+DF59</f>
        <v xml:space="preserve">Cronograma de plan de acción de la Vigencia, registros fílmicos,  fotográficos y evidencias de reunión y actividades realizadas. </v>
      </c>
      <c r="HC59" s="149" t="str">
        <f t="shared" si="127"/>
        <v>Cumple</v>
      </c>
      <c r="HD59" s="149" t="str">
        <f t="shared" si="127"/>
        <v>Cumplido</v>
      </c>
      <c r="HE59" s="149" t="str">
        <f t="shared" si="127"/>
        <v>Adecuado</v>
      </c>
      <c r="HF59" s="149" t="str">
        <f t="shared" si="127"/>
        <v>Coherente</v>
      </c>
      <c r="HG59" s="149" t="str">
        <f t="shared" si="127"/>
        <v>Difiere</v>
      </c>
      <c r="HH59" s="149" t="str">
        <f t="shared" si="127"/>
        <v>Concuerda</v>
      </c>
      <c r="HI59" s="149" t="str">
        <f t="shared" si="127"/>
        <v>No aplica</v>
      </c>
      <c r="HJ59" s="149" t="str">
        <f t="shared" si="127"/>
        <v>Adecuado</v>
      </c>
      <c r="HK59" s="149" t="str">
        <f t="shared" si="127"/>
        <v>Oportuna</v>
      </c>
      <c r="HL59" s="149" t="str">
        <f t="shared" si="127"/>
        <v xml:space="preserve">Se sugiere que en el reporte cualitativo se relacione y especifique el avance en las actividades del plan de acción, de manera que se pueda verificar repecto a las evidencias aportadas en el periodo. </v>
      </c>
      <c r="HM59" s="149" t="str">
        <f t="shared" si="128"/>
        <v>Sandra Patricia Ortiz Barrera</v>
      </c>
      <c r="HN59" s="149" t="str">
        <f t="shared" si="128"/>
        <v>No cumple</v>
      </c>
      <c r="HO59" s="149" t="str">
        <f t="shared" si="128"/>
        <v>Insuficiente</v>
      </c>
      <c r="HP59" s="149" t="str">
        <f t="shared" si="128"/>
        <v>No adecuado</v>
      </c>
      <c r="HQ59" s="149" t="str">
        <f t="shared" si="128"/>
        <v>Coherente</v>
      </c>
      <c r="HR59" s="149" t="str">
        <f t="shared" si="128"/>
        <v>Difiere</v>
      </c>
      <c r="HS59" s="149" t="str">
        <f t="shared" si="128"/>
        <v>Indeterminado</v>
      </c>
      <c r="HT59" s="149" t="str">
        <f t="shared" si="128"/>
        <v>No aplica</v>
      </c>
      <c r="HU59" s="149" t="str">
        <f t="shared" si="128"/>
        <v>No adecuado</v>
      </c>
      <c r="HV59" s="149" t="str">
        <f t="shared" si="128"/>
        <v>Oportuna</v>
      </c>
      <c r="HW59" s="149" t="str">
        <f t="shared" si="128"/>
        <v xml:space="preserve">El proceso programó para el mes de junio una magnitud de meta de 16,  no obstante reportaron 8 actividades del plan de seguridad vial ejecutadas /  10 actividades del plan de seguridad vial, programadas, lo cual no es suficiente para lo programado. Así mismo, no solicitaron su reprogramación el tiempo previsto por la OAP, conforme a radicado 3-2020-12465. Los retrasos o dificultades reportadas no explican claramente el número de actividades que se incumplieron, tampoco soluciones para el cumplimiento de la meta. Se verificaron 10 evidencias cargadas, se visualizan 6 en el reporte cuantitativo y se reportan 8 actividades ejecutadas de 10 programadas según reporte cuantitativo, lo cual no es adecuado_x000D_
</v>
      </c>
      <c r="HX59" s="149">
        <f t="shared" si="128"/>
        <v>0</v>
      </c>
    </row>
    <row r="60" spans="1:232" x14ac:dyDescent="0.3">
      <c r="A60" s="225" t="s">
        <v>384</v>
      </c>
      <c r="B60" s="146" t="s">
        <v>1144</v>
      </c>
      <c r="C60" s="146" t="s">
        <v>1144</v>
      </c>
      <c r="D60" s="146" t="s">
        <v>1144</v>
      </c>
      <c r="E60" s="146" t="s">
        <v>1144</v>
      </c>
      <c r="F60" s="136" t="s">
        <v>1684</v>
      </c>
      <c r="G60" s="146" t="s">
        <v>1144</v>
      </c>
      <c r="H60" s="146" t="s">
        <v>1144</v>
      </c>
      <c r="I60" s="149" t="s">
        <v>1146</v>
      </c>
      <c r="J60" s="154" t="s">
        <v>134</v>
      </c>
      <c r="K60" s="154" t="s">
        <v>135</v>
      </c>
      <c r="L60" s="154" t="s">
        <v>136</v>
      </c>
      <c r="M60" s="154" t="s">
        <v>1201</v>
      </c>
      <c r="N60" s="154" t="s">
        <v>1202</v>
      </c>
      <c r="O60" s="154" t="s">
        <v>1203</v>
      </c>
      <c r="P60" s="148" t="s">
        <v>1684</v>
      </c>
      <c r="Q60" s="154" t="s">
        <v>1685</v>
      </c>
      <c r="R60" s="154" t="s">
        <v>1686</v>
      </c>
      <c r="S60" s="154" t="s">
        <v>1687</v>
      </c>
      <c r="T60" s="154" t="s">
        <v>1688</v>
      </c>
      <c r="U60" s="154" t="s">
        <v>1689</v>
      </c>
      <c r="V60" s="154" t="s">
        <v>1690</v>
      </c>
      <c r="W60" s="148" t="s">
        <v>661</v>
      </c>
      <c r="X60" s="154" t="s">
        <v>661</v>
      </c>
      <c r="Y60" s="154" t="s">
        <v>1691</v>
      </c>
      <c r="Z60" s="154" t="s">
        <v>1692</v>
      </c>
      <c r="AA60" s="154" t="s">
        <v>1693</v>
      </c>
      <c r="AB60" s="154" t="s">
        <v>602</v>
      </c>
      <c r="AC60" s="154" t="s">
        <v>1159</v>
      </c>
      <c r="AD60" s="154" t="s">
        <v>1160</v>
      </c>
      <c r="AE60" s="154">
        <v>2016</v>
      </c>
      <c r="AF60" s="154">
        <v>0</v>
      </c>
      <c r="AG60" s="154">
        <v>2016</v>
      </c>
      <c r="AH60" s="154">
        <v>0</v>
      </c>
      <c r="AI60" s="154">
        <v>0</v>
      </c>
      <c r="AJ60" s="154">
        <v>1</v>
      </c>
      <c r="AK60" s="154">
        <v>1</v>
      </c>
      <c r="AL60" s="227">
        <v>0.46279999999999999</v>
      </c>
      <c r="AM60" s="154">
        <v>0</v>
      </c>
      <c r="AN60" s="146" t="s">
        <v>1144</v>
      </c>
      <c r="AO60" s="146" t="s">
        <v>1144</v>
      </c>
      <c r="AP60" s="146" t="s">
        <v>1144</v>
      </c>
      <c r="AQ60" s="146" t="s">
        <v>1144</v>
      </c>
      <c r="AR60" s="146" t="s">
        <v>1144</v>
      </c>
      <c r="AS60" s="150" t="s">
        <v>1144</v>
      </c>
      <c r="AT60" s="232">
        <v>0</v>
      </c>
      <c r="AU60" s="232">
        <v>0</v>
      </c>
      <c r="AV60" s="232">
        <v>100</v>
      </c>
      <c r="AW60" s="232">
        <v>100</v>
      </c>
      <c r="AX60" s="211">
        <v>100</v>
      </c>
      <c r="AY60" s="232">
        <v>0</v>
      </c>
      <c r="AZ60" s="149"/>
      <c r="BA60" s="149"/>
      <c r="BB60" s="149"/>
      <c r="BC60" s="149"/>
      <c r="BD60" s="149">
        <v>0</v>
      </c>
      <c r="BE60" s="149"/>
      <c r="BF60" s="149"/>
      <c r="BG60" s="149"/>
      <c r="BH60" s="149"/>
      <c r="BI60" s="149"/>
      <c r="BJ60" s="149">
        <v>0</v>
      </c>
      <c r="BK60" s="146" t="s">
        <v>1144</v>
      </c>
      <c r="BL60" s="146" t="s">
        <v>1144</v>
      </c>
      <c r="BM60" s="146" t="s">
        <v>1144</v>
      </c>
      <c r="BN60" s="146" t="s">
        <v>1144</v>
      </c>
      <c r="BO60" s="146" t="s">
        <v>1144</v>
      </c>
      <c r="BP60" s="146" t="s">
        <v>1144</v>
      </c>
      <c r="BQ60" s="146" t="s">
        <v>1144</v>
      </c>
      <c r="BR60" s="146" t="s">
        <v>1144</v>
      </c>
      <c r="BS60" s="146" t="s">
        <v>1144</v>
      </c>
      <c r="BT60" s="146" t="s">
        <v>1144</v>
      </c>
      <c r="BU60" s="146" t="s">
        <v>1144</v>
      </c>
      <c r="BV60" s="146" t="s">
        <v>1144</v>
      </c>
      <c r="BW60" s="154" t="s">
        <v>1144</v>
      </c>
      <c r="BX60" s="154" t="s">
        <v>1144</v>
      </c>
      <c r="BY60" s="154" t="s">
        <v>1144</v>
      </c>
      <c r="BZ60" s="154">
        <v>1</v>
      </c>
      <c r="CA60" s="154" t="s">
        <v>1144</v>
      </c>
      <c r="CB60" s="154" t="s">
        <v>1144</v>
      </c>
      <c r="CC60" s="154" t="s">
        <v>1144</v>
      </c>
      <c r="CD60" s="219">
        <v>1</v>
      </c>
      <c r="CE60" s="219" t="s">
        <v>304</v>
      </c>
      <c r="CF60" s="154" t="s">
        <v>1144</v>
      </c>
      <c r="CG60" s="154" t="s">
        <v>1144</v>
      </c>
      <c r="CH60" s="154" t="s">
        <v>1144</v>
      </c>
      <c r="CI60" s="154">
        <v>1</v>
      </c>
      <c r="CJ60" s="154" t="s">
        <v>1144</v>
      </c>
      <c r="CK60" s="154" t="s">
        <v>1144</v>
      </c>
      <c r="CL60" s="154" t="s">
        <v>1144</v>
      </c>
      <c r="CM60" s="154" t="s">
        <v>1144</v>
      </c>
      <c r="CN60" s="154" t="s">
        <v>1144</v>
      </c>
      <c r="CO60" s="154" t="s">
        <v>1144</v>
      </c>
      <c r="CP60" s="154" t="s">
        <v>1144</v>
      </c>
      <c r="CQ60" s="154" t="s">
        <v>1144</v>
      </c>
      <c r="CR60" s="154" t="s">
        <v>1144</v>
      </c>
      <c r="CS60" s="154" t="s">
        <v>1144</v>
      </c>
      <c r="CT60" s="154" t="s">
        <v>1144</v>
      </c>
      <c r="CU60" s="154" t="s">
        <v>1144</v>
      </c>
      <c r="CV60" s="154" t="s">
        <v>1144</v>
      </c>
      <c r="CW60" s="154" t="s">
        <v>1144</v>
      </c>
      <c r="CX60" s="154" t="s">
        <v>1694</v>
      </c>
      <c r="CY60" s="154" t="s">
        <v>1144</v>
      </c>
      <c r="CZ60" s="154" t="s">
        <v>1144</v>
      </c>
      <c r="DA60" s="154" t="s">
        <v>1144</v>
      </c>
      <c r="DB60" s="152" t="str">
        <f t="shared" si="32"/>
        <v xml:space="preserve">Plan de Acción, SGC, PROCESO: Gestión de Servicios Administrativos, PIGA, OPORTUNIDAD contexto estrategico: 8.1. Oportunidad, </v>
      </c>
      <c r="DC60" s="149" t="str">
        <f t="shared" ref="DC60:DG69" si="151">+VLOOKUP($A60,consolidado,MATCH(DC$5,consolidadofila,0),0)</f>
        <v>Este indicador mide la ejecución de los programas para el cumplimiento del plan de acción aprobado por el Comité de Gestión Ambiental de la Secretaría General en concordancia a lo establecido por la Secretaría de Ambiente.</v>
      </c>
      <c r="DD60" s="149" t="str">
        <f t="shared" si="151"/>
        <v>• Planear, ejecutar y hacer seguimiento al Plan de acción establecido para la Secretaría General</v>
      </c>
      <c r="DE60" s="149" t="str">
        <f t="shared" si="151"/>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
      <c r="DF60" s="149" t="str">
        <f t="shared" si="151"/>
        <v xml:space="preserve">Cronograma de plan de acción del PIGA de la Vigencia, registros fílmicos,  fotográficos y evidencias de reunión y actividades realizadas. </v>
      </c>
      <c r="DG60" s="149" t="str">
        <f t="shared" si="151"/>
        <v>Suma</v>
      </c>
      <c r="DH60" s="149">
        <f t="shared" si="129"/>
        <v>46.28</v>
      </c>
      <c r="DI60" s="149">
        <f t="shared" si="130"/>
        <v>5.62</v>
      </c>
      <c r="DJ60" s="149">
        <f t="shared" si="131"/>
        <v>8.64</v>
      </c>
      <c r="DK60" s="149">
        <f t="shared" si="132"/>
        <v>6.49</v>
      </c>
      <c r="DL60" s="149">
        <f t="shared" si="133"/>
        <v>8.2200000000000006</v>
      </c>
      <c r="DM60" s="149">
        <f t="shared" si="134"/>
        <v>7.34</v>
      </c>
      <c r="DN60" s="149">
        <f t="shared" si="135"/>
        <v>9.9700000000000006</v>
      </c>
      <c r="DO60" s="149">
        <f t="shared" si="100"/>
        <v>12.143474503025065</v>
      </c>
      <c r="DP60" s="149">
        <f t="shared" si="100"/>
        <v>18.668971477960241</v>
      </c>
      <c r="DQ60" s="149">
        <f t="shared" si="100"/>
        <v>14.02333621434745</v>
      </c>
      <c r="DR60" s="149">
        <f t="shared" si="100"/>
        <v>17.761452031114953</v>
      </c>
      <c r="DS60" s="149">
        <f t="shared" si="100"/>
        <v>15.859982713915297</v>
      </c>
      <c r="DT60" s="149">
        <f t="shared" si="100"/>
        <v>21.542783059636996</v>
      </c>
      <c r="DU60" s="149">
        <f t="shared" ref="DU60:EJ69" si="152">+VLOOKUP($A60,consolidado,MATCH(DU$5,consolidadofila,0),0)</f>
        <v>100</v>
      </c>
      <c r="DV60" s="149">
        <f t="shared" si="152"/>
        <v>5.62</v>
      </c>
      <c r="DW60" s="149">
        <f t="shared" si="152"/>
        <v>5.62</v>
      </c>
      <c r="DX60" s="149" t="str">
        <f t="shared" si="152"/>
        <v xml:space="preserve">Se realizaron campañas de sensibilización para los diferentes programas establecidos en el tema Ambiental (energía, residuos, prácticas  sostenibles)
Se actualizó el seguimiento del consumo general y per cápita de los diferentes programas establecidos en el tema Ambiental (energía) en las sedes concertadas  con el fin de presentar los resultados en la mesa técnica en Gestión Ambiental.
Se promovieron diferentes actividades para los programas establecidos en el tema Ambiental (Agua, energía, residuos, prácticas  sostenibles) en las sedes concertadas
Se reportó  a la Secretaria Distrital de Ambiente, los avances relacionados a la implementación del PIGA y a la Unidad Administrativa Especial de Servicios Públicos UAESP- el aprovechamiento de residuos. I Trimestre </v>
      </c>
      <c r="DY60" s="149" t="str">
        <f t="shared" si="152"/>
        <v>N.A</v>
      </c>
      <c r="DZ60" s="149" t="str">
        <f t="shared" si="152"/>
        <v xml:space="preserve">Servidores públicos sensibilizados en los diferentes programas establecidos en el tema Ambiental (energía, residuos, prácticas  sostenibles)
Seguimientos de consumo general y per cápita de los diferentes programas establecidos en el tema Ambiental (energía, ) 
Verificación del cumplimiento de  diferentes programas establecidos en el tema Ambiental (Agua, energía, residuos, prácticas y consumos sostenibles) entre otros 
Ejecución de las diferentes actividades establecidas en los programas Ambientales (Agua, energía, residuos, prácticas y consumos sostenibles) en las sedes concertadas 
Cumplimiento de reportes a entidades externas </v>
      </c>
      <c r="EA60" s="149">
        <f t="shared" si="152"/>
        <v>8.64</v>
      </c>
      <c r="EB60" s="149">
        <f t="shared" si="152"/>
        <v>8.64</v>
      </c>
      <c r="EC60" s="149" t="str">
        <f t="shared" si="152"/>
        <v xml:space="preserve">Se realizaron campañas de sensibilización para los diferentes programas establecidos en el tema Ambiental (Agua, energía, residuos, prácticas  sostenibles)
Se actualizó el seguimiento del consumo general y per cápita de los diferentes programas establecidos en el tema Ambiental (Agua, energía) en las sedes concertadas  con el fin de presentar los resultados en la mesa técnica en Gestión Ambiental.
Se presentó a la mesa técnica de apoyo en Gestión Ambiental el reporte de revisión  de los diferentes temas ambientales esto con el fin de evaluar el cumplimiento de estos.
Se promovieron diferentes actividades para los programas establecidos en el tema Ambiental (Agua, energía, residuos, prácticas sostenibles) en las sedes concertadas </v>
      </c>
      <c r="ED60" s="149" t="str">
        <f t="shared" si="152"/>
        <v>N.A</v>
      </c>
      <c r="EE60" s="149" t="str">
        <f t="shared" si="152"/>
        <v xml:space="preserve">Servidores públicos sensibilizados en los diferentes programas establecidos en el tema Ambiental (Agua, energía, residuos, prácticas sostenibles)
Seguimientos de consumo general y per cápita de los diferentes programas establecidos en el tema Ambiental (Agua, energía) actualizados y presentados en la mesa técnica en Gestión Ambiental.
Verificación del cumplimiento de  diferentes programas establecidos en el tema Ambiental (Agua, energía, residuos, prácticas y consumos sostenibles) entre otros en la mesa técnica
Ejecución de las diferentes actividades establecidas en los programas Ambientales (Agua, energía, residuos, prácticas sostenibles) en las sedes concertadas </v>
      </c>
      <c r="EF60" s="149">
        <f t="shared" si="152"/>
        <v>6.49</v>
      </c>
      <c r="EG60" s="149">
        <f t="shared" si="152"/>
        <v>6.49</v>
      </c>
      <c r="EH60" s="149" t="str">
        <f t="shared" si="152"/>
        <v xml:space="preserve">Se realizaron campañas de sensibilización para los diferentes programas establecidos en el tema Ambiental (Agua, energía, residuos, prácticas y consumos sostenibles)
Se actualizó el seguimiento del consumo general y per cápita de los diferentes programas establecidos en el tema Ambiental (energía) en las sedes concertadas  con el fin de presentar los resultados en la mesa técnica en Gestión Ambiental.
Se presentó al equipo de Compras Públicas Sostenibles ante la Secretaría General en función de la verificación del cumplimiento de la guía CPS planteada por Minambiente 
Se promovieron diferentes actividades para los programas establecidos en el tema Ambiental (Agua, energía, residuos, prácticas y consumos sostenibles) en las sedes concertadas </v>
      </c>
      <c r="EI60" s="149" t="str">
        <f t="shared" si="152"/>
        <v>N.A</v>
      </c>
      <c r="EJ60" s="149" t="str">
        <f t="shared" si="152"/>
        <v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(energía) 
Verificación del cumplimiento de  la guía CPS planteada por Minambiente  
Ejecución de las diferentes actividades establecidas en los programas Ambientales (Agua, energía, residuos, prácticas y consumos sostenibles) en las sedes concertadas </v>
      </c>
      <c r="EK60" s="149">
        <f t="shared" ref="EK60:FE69" si="153">+VLOOKUP($A60,consolidado,MATCH(EK$5,consolidadofila,0),0)</f>
        <v>8.2200000000000006</v>
      </c>
      <c r="EL60" s="149">
        <f t="shared" si="153"/>
        <v>8.2200000000000006</v>
      </c>
      <c r="EM60" s="149" t="str">
        <f t="shared" si="153"/>
        <v xml:space="preserve">Se realizaron campañas de sensibilización para los diferentes programas establecidos en el tema Ambiental (Agua, energía, residuos, prácticas   sostenibles)
Se actualizó el seguimiento del consumo general y per cápita de los diferentes programas establecidos en el tema Ambiental (Agua, energía) en las sedes concertadas  con el fin de presentar los resultados en la mesa técnica en Gestión Ambiental.
Se reportó  a la Unidad Administrativa Especial de Servicios Públicos UAESP- el aprovechamiento de residuos. I Trimestre .
Se promovieron diferentes actividades para los programas establecidos en el tema Ambiental (Agua, energía, residuos, prácticas y consumos sostenibles) en las sedes concertadas 
</v>
      </c>
      <c r="EN60" s="149" t="str">
        <f t="shared" si="153"/>
        <v>N.A</v>
      </c>
      <c r="EO60" s="149" t="str">
        <f t="shared" si="153"/>
        <v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(Agua, energía)
Verificación del cumplimiento de  diferentes programas establecidos en el tema Ambiental (Agua, energía, residuos, prácticas y consumos sostenibles) entre otros en la mesa técnica
Cumplimiento de reportes a entidades externas 
Ejecución de las diferentes actividades establecidas en los programas Ambientales (Agua, energía, residuos, prácticas y consumos sostenibles) en las sedes concertadas 
</v>
      </c>
      <c r="EP60" s="149">
        <f t="shared" si="153"/>
        <v>7.34</v>
      </c>
      <c r="EQ60" s="149">
        <f t="shared" si="153"/>
        <v>7.34</v>
      </c>
      <c r="ER60" s="149" t="str">
        <f t="shared" si="153"/>
        <v xml:space="preserve">Se realizaron campañas de sensibilización para los diferentes programas establecidos en el tema Ambiental (Agua, energía, residuos, prácticas y consumos sostenibles)
Se actualizó el seguimiento del consumo general y per cápita de los diferentes programas establecidos en el tema Ambiental (energía) en las sedes concertadas  con el fin de presentar los resultados en la mesa técnica en Gestión Ambiental.
Se presentó a la mesa técnica de apoyo en Gestión Ambiental el reporte de revisión  de los diferentes temas ambientales esto con el fin de evaluar el cumplimiento de estos.
Se promovieron diferentes actividades para los programas establecidos en el tema Ambiental (Agua, energía, residuos, prácticas y consumos sostenibles) en las sedes concertadas </v>
      </c>
      <c r="ES60" s="149" t="str">
        <f t="shared" si="153"/>
        <v>N.A</v>
      </c>
      <c r="ET60" s="149" t="str">
        <f t="shared" si="153"/>
        <v xml:space="preserve">Servidores públicos sensibilizados en los diferentes programas establecidos en el tema Ambiental (Agua, energía, residuos, prácticas y consumos sostenibles)
Seguimientos de consumo general y per cápita de los diferentes programas establecidos en el tema Ambiental (energía) actualizados y presentados en la mesa técnica en Gestión Ambiental.
Verificación del cumplimiento de  diferentes programas establecidos en el tema Ambiental (Agua, energía, residuos, prácticas y consumos sostenibles) entre otros en la mesa técnica
Ejecución de las diferentes actividades establecidas en los programas Ambientales (Agua, energía, residuos, prácticas y consumos sostenibles) en las sedes concertadas </v>
      </c>
      <c r="EU60" s="149">
        <f t="shared" si="125"/>
        <v>9.9700000000000006</v>
      </c>
      <c r="EV60" s="149">
        <f t="shared" si="125"/>
        <v>9.9700000000000006</v>
      </c>
      <c r="EW60" s="149" t="str">
        <f t="shared" si="125"/>
        <v>Se realizaron campañas de sensibilización para los diferentes programas establecidos en el tema Ambiental (Agua, energía, residuos)_x000D_
Se actualizó el seguimiento del consumo general y per cápita de los diferentes programas establecidos en el tema Ambiental (agua  y energía) en las sedes concertadas  con el fin de presentar los resultados en la mesa técnica en Gestión Ambiental._x000D_
Se desarrolló la semana ambiental virtual de la Entidad_x000D_
Se desarrolló la propuesta de política cero papel, la mesa trimestral de compras públcias sostenibles y las actividades de movilidad sostenible. Se promovió la gestión integral de residuos aprovechables y peligrosos y la entrega de los mismos asociación y gestor autorizado</v>
      </c>
      <c r="EX60" s="149" t="str">
        <f t="shared" si="125"/>
        <v>N.A</v>
      </c>
      <c r="EY60" s="149" t="str">
        <f t="shared" si="125"/>
        <v xml:space="preserve">Servidores públicos sensibilizados en los diferentes programas establecidos en el tema Ambiental (Agua, energía, residuos, prácticas y consumos sostenibles)_x000D_
Seguimientos de consumo general y per cápita de los diferentes programas establecidos en el tema Ambiental (energía y agua)_x000D_
Verificación del cumplimiento de  diferentes programas establecidos en el tema Ambiental (Agua, energía, residuos, prácticas y consumos sostenibles) entre otros_x000D_
Ejecución de las diferentes actividades establecidas en los programas Ambientales (Agua, energía, residuos, prácticas y consumos sostenibles) </v>
      </c>
      <c r="EZ60" s="149">
        <f t="shared" si="153"/>
        <v>46.28</v>
      </c>
      <c r="FA60" s="149">
        <f t="shared" si="153"/>
        <v>46.28</v>
      </c>
      <c r="FB60" s="149">
        <f t="shared" si="153"/>
        <v>0</v>
      </c>
      <c r="FC60" s="149">
        <f t="shared" si="153"/>
        <v>0</v>
      </c>
      <c r="FD60" s="149">
        <f t="shared" si="153"/>
        <v>0</v>
      </c>
      <c r="FE60" s="149">
        <f t="shared" si="153"/>
        <v>0</v>
      </c>
      <c r="FF60" s="149">
        <f t="shared" ref="FF60:FU69" si="154">+VLOOKUP($A60,consolidado,MATCH(FF$5,consolidadofila,0),0)</f>
        <v>0</v>
      </c>
      <c r="FG60" s="149">
        <f t="shared" si="154"/>
        <v>0</v>
      </c>
      <c r="FH60" s="149">
        <f t="shared" si="154"/>
        <v>0</v>
      </c>
      <c r="FI60" s="149">
        <f t="shared" si="154"/>
        <v>0</v>
      </c>
      <c r="FJ60" s="149">
        <f t="shared" si="154"/>
        <v>0</v>
      </c>
      <c r="FK60" s="149">
        <f t="shared" si="154"/>
        <v>0</v>
      </c>
      <c r="FL60" s="149">
        <f t="shared" si="154"/>
        <v>0</v>
      </c>
      <c r="FM60" s="149">
        <f t="shared" si="154"/>
        <v>0</v>
      </c>
      <c r="FN60" s="149">
        <f t="shared" si="154"/>
        <v>0</v>
      </c>
      <c r="FO60" s="149">
        <f t="shared" si="154"/>
        <v>0</v>
      </c>
      <c r="FP60" s="149">
        <f t="shared" si="154"/>
        <v>0</v>
      </c>
      <c r="FQ60" s="149">
        <f t="shared" si="154"/>
        <v>0</v>
      </c>
      <c r="FR60" s="149">
        <f t="shared" si="154"/>
        <v>0</v>
      </c>
      <c r="FS60" s="149">
        <f t="shared" si="154"/>
        <v>0</v>
      </c>
      <c r="FT60" s="149">
        <f t="shared" si="154"/>
        <v>0</v>
      </c>
      <c r="FU60" s="149">
        <f t="shared" si="154"/>
        <v>0</v>
      </c>
      <c r="FV60" s="149">
        <f t="shared" ref="FV60:GE69" si="155">+VLOOKUP($A60,consolidado,MATCH(FV$5,consolidadofila,0),0)</f>
        <v>0</v>
      </c>
      <c r="FW60" s="149">
        <f t="shared" si="155"/>
        <v>0</v>
      </c>
      <c r="FX60" s="149">
        <f t="shared" si="155"/>
        <v>0</v>
      </c>
      <c r="FY60" s="149">
        <f t="shared" si="155"/>
        <v>0</v>
      </c>
      <c r="FZ60" s="149">
        <f t="shared" si="155"/>
        <v>0</v>
      </c>
      <c r="GA60" s="149">
        <f t="shared" si="155"/>
        <v>0</v>
      </c>
      <c r="GB60" s="149">
        <f t="shared" si="155"/>
        <v>0</v>
      </c>
      <c r="GC60" s="149">
        <f t="shared" si="155"/>
        <v>0</v>
      </c>
      <c r="GD60" s="149">
        <f t="shared" si="155"/>
        <v>0</v>
      </c>
      <c r="GE60" s="149">
        <f t="shared" si="155"/>
        <v>0</v>
      </c>
      <c r="GF60" s="149">
        <f t="shared" si="136"/>
        <v>1</v>
      </c>
      <c r="GG60" s="149">
        <f t="shared" si="137"/>
        <v>1</v>
      </c>
      <c r="GH60" s="149">
        <f t="shared" si="138"/>
        <v>1</v>
      </c>
      <c r="GI60" s="149">
        <f t="shared" si="139"/>
        <v>1</v>
      </c>
      <c r="GJ60" s="149">
        <f t="shared" si="140"/>
        <v>1</v>
      </c>
      <c r="GK60" s="149">
        <f t="shared" si="141"/>
        <v>1</v>
      </c>
      <c r="GL60" s="149">
        <f t="shared" si="142"/>
        <v>12.143474503025065</v>
      </c>
      <c r="GM60" s="149">
        <f t="shared" si="143"/>
        <v>18.668971477960241</v>
      </c>
      <c r="GN60" s="149">
        <f t="shared" si="144"/>
        <v>14.02333621434745</v>
      </c>
      <c r="GO60" s="149">
        <f t="shared" si="145"/>
        <v>17.761452031114953</v>
      </c>
      <c r="GP60" s="149">
        <f t="shared" si="146"/>
        <v>15.859982713915297</v>
      </c>
      <c r="GQ60" s="149">
        <f t="shared" si="146"/>
        <v>21.542783059636996</v>
      </c>
      <c r="GR60" s="153">
        <f t="shared" si="124"/>
        <v>100</v>
      </c>
      <c r="GS60" s="149">
        <f>+IF(OR($A60=120,$A60="120B"),100,IFERROR(IF($X60="Creciente",IF($AB60="Número",SUM(GL60)/SUM(DO60)*($AX60-$AW60),SUM(GL60)/SUM(DO60))*($AX60-$AW60),IF(AND($DG60="Constante",$AB60="Porcentaje"),AVERAGEIF(GL60,"&lt;&gt;0")/AVERAGEIF(DO60,"&lt;&gt;0")*100,SUM(GL60)/SUM(DO60)*$DU60)),"No Programó"))</f>
        <v>100</v>
      </c>
      <c r="GT60" s="149">
        <f>+IF(OR($A60=120,$A60="120B"),100,IFERROR(IF($X60="Creciente",IF($AB60="Número",SUM($GL60:GM60)/SUM($DO60:DP60)*($AX60-$AW60),SUM($GL60:GM60)/SUM($DO60:DP60))*($AX60-$AW60),IF($DG60="Creciente",GM60*GM60/GM60,IF(AND($DG60="Constante",$AB60="Porcentaje"),AVERAGEIF($GL60:GM60,"&lt;&gt;0")/AVERAGEIF($DO60:DP60,"&lt;&gt;0")*100,SUM($GL60:GM60)/SUM($DO60:DP60)*$DU60))),GS60))</f>
        <v>100</v>
      </c>
      <c r="GU60" s="149">
        <f>+IF(OR($A60=120,$A60="120B"),100,IFERROR(IF($X60="Creciente",IF($AB60="Número",SUM($GL60:GN60)/SUM($DO60:DQ60)*($AX60-$AW60),SUM($GL60:GN60)/SUM($DO60:DQ60))*($AX60-$AW60),IF($DG60="Creciente",GN60*GN60/GN60,IF(AND($DG60="Constante",$AB60="Porcentaje"),AVERAGEIF($GL60:GN60,"&lt;&gt;0")/AVERAGEIF($DO60:DQ60,"&lt;&gt;0")*100,SUM($GL60:GN60)/SUM($DO60:DQ60)*$DU60))),GT60))</f>
        <v>100</v>
      </c>
      <c r="GV60" s="149">
        <f>+IF(OR($A60=120,$A60="120B"),100,IFERROR(IF($X60="Creciente",IF($AB60="Número",SUM($GL60:GO60)/SUM($DO60:DR60)*($AX60-$AW60),SUM($GL60:GO60)/SUM($DO60:DR60))*($AX60-$AW60),IF($DG60="Creciente",GO60*GO60/GO60,IF(AND($DG60="Constante",$AB60="Porcentaje"),AVERAGEIF($GL60:GO60,"&lt;&gt;0")/AVERAGEIF($DO60:DR60,"&lt;&gt;0")*100,SUM($GL60:GO60)/SUM($DO60:DR60)*$DU60))),GU60))</f>
        <v>100</v>
      </c>
      <c r="GW60" s="149">
        <f>+IF(OR($A60=120,$A60="120B"),100,IFERROR(IF($X60="Creciente",IF($AB60="Número",SUM($GL60:GP60)/SUM($DO60:DS60)*($AX60-$AW60),SUM($GL60:GP60)/SUM($DO60:DS60))*($AX60-$AW60),IF($DG60="Creciente",GP60*GP60/GP60,IF(AND($DG60="Constante",$AB60="Porcentaje"),AVERAGEIF($GL60:GP60,"&lt;&gt;0")/AVERAGEIF($DO60:DS60,"&lt;&gt;0")*100,SUM($GL60:GP60)/SUM($DO60:DS60)*$DU60))),GV60))</f>
        <v>100</v>
      </c>
      <c r="GX60" s="149">
        <f>+IF(OR($A60=120,$A60="120B"),100,IFERROR(IF($X60="Creciente",IF($AB60="Número",SUM($GL60:GQ60)/SUM($DO60:DT60)*($AX60-$AW60),SUM($GL60:GQ60)/SUM($DO60:DT60))*($AX60-$AW60),IF($DG60="Creciente",GQ60*GQ60/GQ60,IF(AND($DG60="Constante",$AB60="Porcentaje"),AVERAGEIF($GL60:GQ60,"&lt;&gt;0")/AVERAGEIF($DO60:DT60,"&lt;&gt;0")*100,SUM($GL60:GQ60)/SUM($DO60:DT60)*$DU60))),GW60))</f>
        <v>100</v>
      </c>
      <c r="GY60" s="149" t="str">
        <f t="shared" si="147"/>
        <v>Este indicador mide la ejecución de los programas para el cumplimiento del plan de acción aprobado por el Comité de Gestión Ambiental de la Secretaría General en concordancia a lo establecido por la Secretaría de Ambiente.</v>
      </c>
      <c r="GZ60" s="149" t="str">
        <f t="shared" si="148"/>
        <v>• Planear, ejecutar y hacer seguimiento al Plan de acción establecido para la Secretaría General</v>
      </c>
      <c r="HA60" s="149" t="str">
        <f t="shared" si="149"/>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
      <c r="HB60" s="149" t="str">
        <f t="shared" si="150"/>
        <v xml:space="preserve">Cronograma de plan de acción del PIGA de la Vigencia, registros fílmicos,  fotográficos y evidencias de reunión y actividades realizadas. </v>
      </c>
      <c r="HC60" s="149" t="str">
        <f t="shared" si="127"/>
        <v>Cumple</v>
      </c>
      <c r="HD60" s="149" t="str">
        <f t="shared" si="127"/>
        <v>Cumplido</v>
      </c>
      <c r="HE60" s="149" t="str">
        <f t="shared" si="127"/>
        <v>Adecuado</v>
      </c>
      <c r="HF60" s="149" t="str">
        <f t="shared" si="127"/>
        <v>Coherente</v>
      </c>
      <c r="HG60" s="149" t="str">
        <f t="shared" si="127"/>
        <v>Difiere</v>
      </c>
      <c r="HH60" s="149" t="str">
        <f t="shared" si="127"/>
        <v>Concuerda</v>
      </c>
      <c r="HI60" s="149" t="str">
        <f t="shared" si="127"/>
        <v>No aplica</v>
      </c>
      <c r="HJ60" s="149" t="str">
        <f t="shared" si="127"/>
        <v>Adecuado</v>
      </c>
      <c r="HK60" s="149" t="str">
        <f t="shared" si="127"/>
        <v>Oportuna</v>
      </c>
      <c r="HL60" s="149" t="str">
        <f t="shared" si="127"/>
        <v xml:space="preserve">Se sugiere que en el reporte cualitativo se relacione y especifique el avance en los programas, de manera que se pueda verificar repecto a las evidencias aportadas en el periodo. </v>
      </c>
      <c r="HM60" s="149" t="str">
        <f t="shared" si="128"/>
        <v>Sandra Patricia Ortiz Barrera</v>
      </c>
      <c r="HN60" s="149" t="str">
        <f t="shared" si="128"/>
        <v>Cumple</v>
      </c>
      <c r="HO60" s="149" t="str">
        <f t="shared" si="128"/>
        <v>Cumplido</v>
      </c>
      <c r="HP60" s="149" t="str">
        <f t="shared" si="128"/>
        <v>Adecuado</v>
      </c>
      <c r="HQ60" s="149" t="str">
        <f t="shared" si="128"/>
        <v>Coherente</v>
      </c>
      <c r="HR60" s="149" t="str">
        <f t="shared" si="128"/>
        <v>Concuerda</v>
      </c>
      <c r="HS60" s="149" t="str">
        <f t="shared" si="128"/>
        <v>Concuerda</v>
      </c>
      <c r="HT60" s="149" t="str">
        <f t="shared" si="128"/>
        <v>No aplica</v>
      </c>
      <c r="HU60" s="149" t="str">
        <f t="shared" si="128"/>
        <v>Adecuado</v>
      </c>
      <c r="HV60" s="149" t="str">
        <f t="shared" si="128"/>
        <v>Oportuna</v>
      </c>
      <c r="HW60" s="149" t="str">
        <f t="shared" si="128"/>
        <v>El reporte del indicador es adecuado en términos de coherencia y consistencia. El indicador presenta un cumplimiento del 100%</v>
      </c>
      <c r="HX60" s="149">
        <f t="shared" si="128"/>
        <v>0</v>
      </c>
    </row>
    <row r="61" spans="1:232" x14ac:dyDescent="0.3">
      <c r="A61" s="225">
        <v>126</v>
      </c>
      <c r="B61" s="146" t="s">
        <v>1144</v>
      </c>
      <c r="C61" s="146" t="s">
        <v>1144</v>
      </c>
      <c r="D61" s="146" t="s">
        <v>1144</v>
      </c>
      <c r="E61" s="146" t="s">
        <v>1144</v>
      </c>
      <c r="F61" s="136" t="s">
        <v>1695</v>
      </c>
      <c r="G61" s="146" t="s">
        <v>1144</v>
      </c>
      <c r="H61" s="146" t="s">
        <v>1144</v>
      </c>
      <c r="I61" s="149" t="s">
        <v>1146</v>
      </c>
      <c r="J61" s="154" t="s">
        <v>117</v>
      </c>
      <c r="K61" s="154" t="s">
        <v>118</v>
      </c>
      <c r="L61" s="154" t="s">
        <v>1696</v>
      </c>
      <c r="M61" s="154" t="s">
        <v>1147</v>
      </c>
      <c r="N61" s="154" t="s">
        <v>1148</v>
      </c>
      <c r="O61" s="154" t="s">
        <v>1425</v>
      </c>
      <c r="P61" s="148" t="s">
        <v>1695</v>
      </c>
      <c r="Q61" s="154" t="s">
        <v>1697</v>
      </c>
      <c r="R61" s="154" t="s">
        <v>1698</v>
      </c>
      <c r="S61" s="154" t="s">
        <v>1699</v>
      </c>
      <c r="T61" s="154" t="s">
        <v>1700</v>
      </c>
      <c r="U61" s="154" t="s">
        <v>1701</v>
      </c>
      <c r="V61" s="154" t="s">
        <v>1702</v>
      </c>
      <c r="W61" s="148" t="s">
        <v>601</v>
      </c>
      <c r="X61" s="154" t="s">
        <v>601</v>
      </c>
      <c r="Y61" s="154" t="s">
        <v>1703</v>
      </c>
      <c r="Z61" s="154" t="s">
        <v>1704</v>
      </c>
      <c r="AA61" s="154" t="s">
        <v>1705</v>
      </c>
      <c r="AB61" s="154" t="s">
        <v>602</v>
      </c>
      <c r="AC61" s="154" t="s">
        <v>1475</v>
      </c>
      <c r="AD61" s="154" t="s">
        <v>1160</v>
      </c>
      <c r="AE61" s="154">
        <v>2016</v>
      </c>
      <c r="AF61" s="154">
        <v>0.9</v>
      </c>
      <c r="AG61" s="154">
        <v>2016</v>
      </c>
      <c r="AH61" s="154">
        <v>0.9</v>
      </c>
      <c r="AI61" s="154">
        <v>0.9</v>
      </c>
      <c r="AJ61" s="154">
        <v>0.9</v>
      </c>
      <c r="AK61" s="154">
        <v>0.9</v>
      </c>
      <c r="AL61" s="228">
        <v>1</v>
      </c>
      <c r="AM61" s="154">
        <v>0</v>
      </c>
      <c r="AN61" s="146" t="s">
        <v>1144</v>
      </c>
      <c r="AO61" s="146" t="s">
        <v>1144</v>
      </c>
      <c r="AP61" s="146" t="s">
        <v>1144</v>
      </c>
      <c r="AQ61" s="146" t="s">
        <v>1144</v>
      </c>
      <c r="AR61" s="146" t="s">
        <v>1144</v>
      </c>
      <c r="AS61" s="150" t="s">
        <v>1144</v>
      </c>
      <c r="AT61" s="232">
        <v>90</v>
      </c>
      <c r="AU61" s="232">
        <v>90</v>
      </c>
      <c r="AV61" s="232">
        <v>90</v>
      </c>
      <c r="AW61" s="232">
        <v>90</v>
      </c>
      <c r="AX61" s="211">
        <v>100</v>
      </c>
      <c r="AY61" s="232">
        <v>0</v>
      </c>
      <c r="AZ61" s="149"/>
      <c r="BA61" s="149"/>
      <c r="BB61" s="149"/>
      <c r="BC61" s="149"/>
      <c r="BD61" s="149">
        <v>0</v>
      </c>
      <c r="BE61" s="149"/>
      <c r="BF61" s="149"/>
      <c r="BG61" s="149"/>
      <c r="BH61" s="149"/>
      <c r="BI61" s="149"/>
      <c r="BJ61" s="149">
        <v>0</v>
      </c>
      <c r="BK61" s="146" t="s">
        <v>1144</v>
      </c>
      <c r="BL61" s="146" t="s">
        <v>1144</v>
      </c>
      <c r="BM61" s="146" t="s">
        <v>1144</v>
      </c>
      <c r="BN61" s="146" t="s">
        <v>1144</v>
      </c>
      <c r="BO61" s="146" t="s">
        <v>1144</v>
      </c>
      <c r="BP61" s="146" t="s">
        <v>1144</v>
      </c>
      <c r="BQ61" s="146" t="s">
        <v>1144</v>
      </c>
      <c r="BR61" s="146" t="s">
        <v>1144</v>
      </c>
      <c r="BS61" s="146" t="s">
        <v>1144</v>
      </c>
      <c r="BT61" s="146" t="s">
        <v>1144</v>
      </c>
      <c r="BU61" s="146" t="s">
        <v>1144</v>
      </c>
      <c r="BV61" s="146" t="s">
        <v>1144</v>
      </c>
      <c r="BW61" s="154" t="s">
        <v>1144</v>
      </c>
      <c r="BX61" s="154" t="s">
        <v>1144</v>
      </c>
      <c r="BY61" s="154" t="s">
        <v>1144</v>
      </c>
      <c r="BZ61" s="154">
        <v>1</v>
      </c>
      <c r="CA61" s="154" t="s">
        <v>1144</v>
      </c>
      <c r="CB61" s="154" t="s">
        <v>1144</v>
      </c>
      <c r="CC61" s="154" t="s">
        <v>1144</v>
      </c>
      <c r="CD61" s="219">
        <v>1</v>
      </c>
      <c r="CE61" s="219" t="s">
        <v>309</v>
      </c>
      <c r="CF61" s="154" t="s">
        <v>1144</v>
      </c>
      <c r="CG61" s="154" t="s">
        <v>1144</v>
      </c>
      <c r="CH61" s="154" t="s">
        <v>1144</v>
      </c>
      <c r="CI61" s="154" t="s">
        <v>1144</v>
      </c>
      <c r="CJ61" s="154" t="s">
        <v>1144</v>
      </c>
      <c r="CK61" s="154" t="s">
        <v>1144</v>
      </c>
      <c r="CL61" s="154" t="s">
        <v>1144</v>
      </c>
      <c r="CM61" s="154" t="s">
        <v>1144</v>
      </c>
      <c r="CN61" s="154" t="s">
        <v>1144</v>
      </c>
      <c r="CO61" s="154" t="s">
        <v>1144</v>
      </c>
      <c r="CP61" s="154" t="s">
        <v>1144</v>
      </c>
      <c r="CQ61" s="154" t="s">
        <v>1144</v>
      </c>
      <c r="CR61" s="154" t="s">
        <v>1144</v>
      </c>
      <c r="CS61" s="154" t="s">
        <v>1144</v>
      </c>
      <c r="CT61" s="154" t="s">
        <v>1144</v>
      </c>
      <c r="CU61" s="154" t="s">
        <v>1144</v>
      </c>
      <c r="CV61" s="154" t="s">
        <v>1144</v>
      </c>
      <c r="CW61" s="154" t="s">
        <v>1144</v>
      </c>
      <c r="CX61" s="154" t="s">
        <v>1144</v>
      </c>
      <c r="CY61" s="154" t="s">
        <v>1144</v>
      </c>
      <c r="CZ61" s="154" t="s">
        <v>1144</v>
      </c>
      <c r="DA61" s="154" t="s">
        <v>1144</v>
      </c>
      <c r="DB61" s="152" t="str">
        <f t="shared" si="32"/>
        <v xml:space="preserve">Plan de Acción, SGC, PROCESO: Gestión Documental Interna, </v>
      </c>
      <c r="DC61" s="149" t="str">
        <f t="shared" si="151"/>
        <v xml:space="preserve">Fortalecer  y  normalizar los archivos de gestión de la entidad.   Es necesario sensibilizar a los servidores con relación a la organización de documentos para ponerlos al servicio de las diferentes dependencias de la Secretaria General.  </v>
      </c>
      <c r="DD61" s="149" t="str">
        <f t="shared" si="151"/>
        <v>• Capacitar a los servidores responsables de los archivos de gestión en la diferentes dependencias de la Secretaria General.</v>
      </c>
      <c r="DE61" s="149" t="str">
        <f t="shared" si="151"/>
        <v xml:space="preserve">Disponer oportunamente con los documentos en caso de cualquier consulta o requerimiento por parte de los ciudadanos, dado que los  archivos de las dependencias de la Secretaria General se encuentran organizados y normalizados. </v>
      </c>
      <c r="DF61" s="149" t="str">
        <f t="shared" si="151"/>
        <v>* Programación de asistencias técnicas
* Formatos de asistencia o actas de evidencia de reunión.</v>
      </c>
      <c r="DG61" s="149" t="str">
        <f t="shared" si="151"/>
        <v>Suma</v>
      </c>
      <c r="DH61" s="149">
        <f t="shared" si="129"/>
        <v>26</v>
      </c>
      <c r="DI61" s="149">
        <f t="shared" si="130"/>
        <v>0</v>
      </c>
      <c r="DJ61" s="149">
        <f t="shared" si="131"/>
        <v>15</v>
      </c>
      <c r="DK61" s="149">
        <f t="shared" si="132"/>
        <v>11</v>
      </c>
      <c r="DL61" s="149">
        <f t="shared" si="133"/>
        <v>0</v>
      </c>
      <c r="DM61" s="149">
        <f t="shared" si="134"/>
        <v>0</v>
      </c>
      <c r="DN61" s="149">
        <f t="shared" si="135"/>
        <v>0</v>
      </c>
      <c r="DO61" s="149">
        <f t="shared" si="100"/>
        <v>0</v>
      </c>
      <c r="DP61" s="149">
        <f t="shared" si="100"/>
        <v>57.692307692307686</v>
      </c>
      <c r="DQ61" s="149">
        <f t="shared" si="100"/>
        <v>42.307692307692307</v>
      </c>
      <c r="DR61" s="149">
        <f t="shared" si="100"/>
        <v>0</v>
      </c>
      <c r="DS61" s="149">
        <f t="shared" si="100"/>
        <v>0</v>
      </c>
      <c r="DT61" s="149">
        <f t="shared" si="100"/>
        <v>0</v>
      </c>
      <c r="DU61" s="149">
        <f t="shared" si="152"/>
        <v>100</v>
      </c>
      <c r="DV61" s="149">
        <f t="shared" si="152"/>
        <v>0</v>
      </c>
      <c r="DW61" s="149">
        <f t="shared" si="152"/>
        <v>0</v>
      </c>
      <c r="DX61" s="149" t="str">
        <f t="shared" si="152"/>
        <v>El 22 de enero se remitió a las dependencias el memorando 3-2020-1712 con el cronograma de las visitas a realizar</v>
      </c>
      <c r="DY61" s="149" t="str">
        <f t="shared" si="152"/>
        <v>N.A.</v>
      </c>
      <c r="DZ61" s="149" t="str">
        <f t="shared" si="152"/>
        <v>Orientación tecnica relacionada con organización de archivos de gestión a las dependencias</v>
      </c>
      <c r="EA61" s="149">
        <f t="shared" si="152"/>
        <v>15</v>
      </c>
      <c r="EB61" s="149">
        <f t="shared" si="152"/>
        <v>15</v>
      </c>
      <c r="EC61" s="149" t="str">
        <f t="shared" si="152"/>
        <v>Se realizaron 15 visitas de acuerdo con lo programado</v>
      </c>
      <c r="ED61" s="149" t="str">
        <f t="shared" si="152"/>
        <v>N.A.</v>
      </c>
      <c r="EE61" s="149" t="str">
        <f t="shared" si="152"/>
        <v>Orientación tecnica relacionada con organización de archivos de gestión a las dependencias</v>
      </c>
      <c r="EF61" s="149">
        <f t="shared" si="152"/>
        <v>11</v>
      </c>
      <c r="EG61" s="149">
        <f t="shared" si="152"/>
        <v>11</v>
      </c>
      <c r="EH61" s="149" t="str">
        <f t="shared" si="152"/>
        <v>Se realizaron 11 visitas de acuerdo con lo programado</v>
      </c>
      <c r="EI61" s="149" t="str">
        <f t="shared" si="152"/>
        <v>N.A.</v>
      </c>
      <c r="EJ61" s="149" t="str">
        <f t="shared" si="152"/>
        <v>Orientación tecnica relacionada con organización de archivos de gestión a las dependencias</v>
      </c>
      <c r="EK61" s="149">
        <f t="shared" si="153"/>
        <v>0</v>
      </c>
      <c r="EL61" s="149">
        <f t="shared" si="153"/>
        <v>0</v>
      </c>
      <c r="EM61" s="149" t="str">
        <f t="shared" si="153"/>
        <v>No se programaron visitas 
Mediante comunicación 3-2020-8744 se informó a las dependencias aplazamiento de las visitas por la emergencia sanitaria</v>
      </c>
      <c r="EN61" s="149" t="str">
        <f t="shared" si="153"/>
        <v>Se hizo necesario suspender y aplazar visitas programadas, por la emergencia sanitaria, se informó a las dependencias mediante 3-2020-8744. sin embargo se ha realizado asitencia técnica virtual por demanda</v>
      </c>
      <c r="EO61" s="149" t="str">
        <f t="shared" si="153"/>
        <v>Se ha realizado asitencia técnica virtual por demanda, brinando orientación tecnica relacionada con organización de archivos de gestión a las dependencias</v>
      </c>
      <c r="EP61" s="149">
        <f t="shared" si="153"/>
        <v>0</v>
      </c>
      <c r="EQ61" s="149">
        <f t="shared" si="153"/>
        <v>0</v>
      </c>
      <c r="ER61" s="149" t="str">
        <f t="shared" si="153"/>
        <v>No se programaron visitas 
Mediante comunicación 3-2020-8744 se informó a las dependencias aplazamiento de las visitas por la emergencia sanitaria</v>
      </c>
      <c r="ES61" s="149" t="str">
        <f t="shared" si="153"/>
        <v>Se hizo necesario suspender y aplazar visitas programadas, por la emergencia sanitaria, se informó a las dependencias mediante 3-2020-8744. sin embargo se ha realizado asitencia técnica virtual por demanda</v>
      </c>
      <c r="ET61" s="149" t="str">
        <f t="shared" si="153"/>
        <v>Se ha realizado asitencia técnica virtual por demanda, brinando orientación tecnica relacionada con organización de archivos de gestión a las dependencias</v>
      </c>
      <c r="EU61" s="149">
        <f t="shared" si="125"/>
        <v>0</v>
      </c>
      <c r="EV61" s="149">
        <f t="shared" si="125"/>
        <v>0</v>
      </c>
      <c r="EW61" s="149" t="str">
        <f t="shared" si="125"/>
        <v>No se programaron visitas 
Mediante comunicación 3-2020-8744 se informó a las dependencias aplazamiento de las visitas por la emergencia sanitaria</v>
      </c>
      <c r="EX61" s="149" t="str">
        <f t="shared" si="125"/>
        <v>Se hizo necesario suspender y aplazar visitas programadas, por la emergencia sanitaria, se informó a las dependencias mediante 3-2020-8744. sin embargo se ha realizado asitencia técnica virtual por demanda</v>
      </c>
      <c r="EY61" s="149" t="str">
        <f t="shared" si="125"/>
        <v>Se ha realizado asitencia técnica virtual por demanda, brinando orientación tecnica relacionada con organización de archivos de gestión a las dependencias</v>
      </c>
      <c r="EZ61" s="149">
        <f t="shared" si="153"/>
        <v>26</v>
      </c>
      <c r="FA61" s="149">
        <f t="shared" si="153"/>
        <v>26</v>
      </c>
      <c r="FB61" s="149">
        <f t="shared" si="153"/>
        <v>0</v>
      </c>
      <c r="FC61" s="149">
        <f t="shared" si="153"/>
        <v>0</v>
      </c>
      <c r="FD61" s="149">
        <f t="shared" si="153"/>
        <v>0</v>
      </c>
      <c r="FE61" s="149">
        <f t="shared" si="153"/>
        <v>0</v>
      </c>
      <c r="FF61" s="149">
        <f t="shared" si="154"/>
        <v>0</v>
      </c>
      <c r="FG61" s="149">
        <f t="shared" si="154"/>
        <v>0</v>
      </c>
      <c r="FH61" s="149">
        <f t="shared" si="154"/>
        <v>0</v>
      </c>
      <c r="FI61" s="149">
        <f t="shared" si="154"/>
        <v>0</v>
      </c>
      <c r="FJ61" s="149">
        <f t="shared" si="154"/>
        <v>0</v>
      </c>
      <c r="FK61" s="149">
        <f t="shared" si="154"/>
        <v>0</v>
      </c>
      <c r="FL61" s="149">
        <f t="shared" si="154"/>
        <v>0</v>
      </c>
      <c r="FM61" s="149">
        <f t="shared" si="154"/>
        <v>0</v>
      </c>
      <c r="FN61" s="149">
        <f t="shared" si="154"/>
        <v>0</v>
      </c>
      <c r="FO61" s="149">
        <f t="shared" si="154"/>
        <v>0</v>
      </c>
      <c r="FP61" s="149">
        <f t="shared" si="154"/>
        <v>0</v>
      </c>
      <c r="FQ61" s="149">
        <f t="shared" si="154"/>
        <v>0</v>
      </c>
      <c r="FR61" s="149">
        <f t="shared" si="154"/>
        <v>0</v>
      </c>
      <c r="FS61" s="149">
        <f t="shared" si="154"/>
        <v>0</v>
      </c>
      <c r="FT61" s="149">
        <f t="shared" si="154"/>
        <v>0</v>
      </c>
      <c r="FU61" s="149">
        <f t="shared" si="154"/>
        <v>0</v>
      </c>
      <c r="FV61" s="149">
        <f t="shared" si="155"/>
        <v>0</v>
      </c>
      <c r="FW61" s="149">
        <f t="shared" si="155"/>
        <v>0</v>
      </c>
      <c r="FX61" s="149">
        <f t="shared" si="155"/>
        <v>0</v>
      </c>
      <c r="FY61" s="149">
        <f t="shared" si="155"/>
        <v>0</v>
      </c>
      <c r="FZ61" s="149">
        <f t="shared" si="155"/>
        <v>0</v>
      </c>
      <c r="GA61" s="149">
        <f t="shared" si="155"/>
        <v>0</v>
      </c>
      <c r="GB61" s="149">
        <f t="shared" si="155"/>
        <v>0</v>
      </c>
      <c r="GC61" s="149">
        <f t="shared" si="155"/>
        <v>0</v>
      </c>
      <c r="GD61" s="149">
        <f t="shared" si="155"/>
        <v>0</v>
      </c>
      <c r="GE61" s="149">
        <f t="shared" si="155"/>
        <v>0</v>
      </c>
      <c r="GF61" s="149">
        <f t="shared" si="136"/>
        <v>0</v>
      </c>
      <c r="GG61" s="149">
        <f t="shared" si="137"/>
        <v>1</v>
      </c>
      <c r="GH61" s="149">
        <f t="shared" si="138"/>
        <v>1</v>
      </c>
      <c r="GI61" s="149">
        <f t="shared" si="139"/>
        <v>0</v>
      </c>
      <c r="GJ61" s="149">
        <f t="shared" si="140"/>
        <v>0</v>
      </c>
      <c r="GK61" s="149">
        <f t="shared" si="141"/>
        <v>1</v>
      </c>
      <c r="GL61" s="149">
        <f t="shared" si="142"/>
        <v>0</v>
      </c>
      <c r="GM61" s="149">
        <f t="shared" si="143"/>
        <v>57.692307692307686</v>
      </c>
      <c r="GN61" s="149">
        <f t="shared" si="144"/>
        <v>42.307692307692307</v>
      </c>
      <c r="GO61" s="149">
        <f t="shared" si="145"/>
        <v>0</v>
      </c>
      <c r="GP61" s="149">
        <f t="shared" si="146"/>
        <v>0</v>
      </c>
      <c r="GQ61" s="149">
        <f t="shared" si="146"/>
        <v>0</v>
      </c>
      <c r="GR61" s="153">
        <f t="shared" si="124"/>
        <v>100</v>
      </c>
      <c r="GS61" s="149" t="str">
        <f t="shared" ref="GS61:GS69" si="156">+IF(OR($A61=52,$A61=124),1,IFERROR(IF($X61="Creciente",IF($AB61="Número",SUM(GL61)/SUM(DO61)*($AX61-$AW61),SUM(GL61)/SUM(DO61))*($AX61-$AW61),IF(AND($DG61="Constante",$AB61="Porcentaje"),AVERAGEIF(GL61,"&lt;&gt;0")/AVERAGEIF(DO61,"&lt;&gt;0")*100,SUM(GL61)/SUM(DO61)*$DU61)),"No Programó"))</f>
        <v>No Programó</v>
      </c>
      <c r="GT61" s="149">
        <f>+IF(OR($A61=52,$A61=124),1,IFERROR(IF($X61="Creciente",IF($AB61="Número",SUM($GL61:GM61)/SUM($DO61:DP61)*($AX61-$AW61),SUM($GL61:GM61)/SUM($DO61:DP61))*($AX61-$AW61),IF($DG61="Creciente",GM61*GM61/GM61,IF(AND($DG61="Constante",$AB61="Porcentaje"),AVERAGEIF($GL61:GM61,"&lt;&gt;0")/AVERAGEIF($DO61:DP61,"&lt;&gt;0")*100,SUM($GL61:GM61)/SUM($DO61:DP61)*$DU61))),GS61))</f>
        <v>100</v>
      </c>
      <c r="GU61" s="149">
        <f>+IF(OR($A61=52,$A61=124),1,IFERROR(IF($X61="Creciente",IF($AB61="Número",SUM($GL61:GN61)/SUM($DO61:DQ61)*($AX61-$AW61),SUM($GL61:GN61)/SUM($DO61:DQ61))*($AX61-$AW61),IF($DG61="Creciente",GN61*GN61/GN61,IF(AND($DG61="Constante",$AB61="Porcentaje"),AVERAGEIF($GL61:GN61,"&lt;&gt;0")/AVERAGEIF($DO61:DQ61,"&lt;&gt;0")*100,SUM($GL61:GN61)/SUM($DO61:DQ61)*$DU61))),GT61))</f>
        <v>100</v>
      </c>
      <c r="GV61" s="149">
        <f>+IF(OR($A61=52,$A61=124),1,IFERROR(IF($X61="Creciente",IF($AB61="Número",SUM($GL61:GO61)/SUM($DO61:DR61)*($AX61-$AW61),SUM($GL61:GO61)/SUM($DO61:DR61))*($AX61-$AW61),IF($DG61="Creciente",GO61*GO61/GO61,IF(AND($DG61="Constante",$AB61="Porcentaje"),AVERAGEIF($GL61:GO61,"&lt;&gt;0")/AVERAGEIF($DO61:DR61,"&lt;&gt;0")*100,SUM($GL61:GO61)/SUM($DO61:DR61)*$DU61))),GU61))</f>
        <v>100</v>
      </c>
      <c r="GW61" s="149">
        <f>+IF(OR($A61=52,$A61=124),1,IFERROR(IF($X61="Creciente",IF($AB61="Número",SUM($GL61:GP61)/SUM($DO61:DS61)*($AX61-$AW61),SUM($GL61:GP61)/SUM($DO61:DS61))*($AX61-$AW61),IF($DG61="Creciente",GP61*GP61/GP61,IF(AND($DG61="Constante",$AB61="Porcentaje"),AVERAGEIF($GL61:GP61,"&lt;&gt;0")/AVERAGEIF($DO61:DS61,"&lt;&gt;0")*100,SUM($GL61:GP61)/SUM($DO61:DS61)*$DU61))),GV61))</f>
        <v>100</v>
      </c>
      <c r="GX61" s="149">
        <f>+IF(OR($A61=52,$A61=124),1,IFERROR(IF($X61="Creciente",IF($AB61="Número",SUM($GL61:GQ61)/SUM($DO61:DT61)*($AX61-$AW61),SUM($GL61:GQ61)/SUM($DO61:DT61))*($AX61-$AW61),IF($DG61="Creciente",GQ61*GQ61/GQ61,IF(AND($DG61="Constante",$AB61="Porcentaje"),AVERAGEIF($GL61:GQ61,"&lt;&gt;0")/AVERAGEIF($DO61:DT61,"&lt;&gt;0")*100,SUM($GL61:GQ61)/SUM($DO61:DT61)*$DU61))),GW61))</f>
        <v>100</v>
      </c>
      <c r="GY61" s="149" t="str">
        <f t="shared" si="147"/>
        <v xml:space="preserve">Fortalecer  y  normalizar los archivos de gestión de la entidad.   Es necesario sensibilizar a los servidores con relación a la organización de documentos para ponerlos al servicio de las diferentes dependencias de la Secretaria General.  </v>
      </c>
      <c r="GZ61" s="149" t="str">
        <f t="shared" si="148"/>
        <v>• Capacitar a los servidores responsables de los archivos de gestión en la diferentes dependencias de la Secretaria General.</v>
      </c>
      <c r="HA61" s="149" t="str">
        <f t="shared" si="149"/>
        <v xml:space="preserve">Disponer oportunamente con los documentos en caso de cualquier consulta o requerimiento por parte de los ciudadanos, dado que los  archivos de las dependencias de la Secretaria General se encuentran organizados y normalizados. </v>
      </c>
      <c r="HB61" s="149" t="str">
        <f t="shared" si="150"/>
        <v>* Programación de asistencias técnicas
* Formatos de asistencia o actas de evidencia de reunión.</v>
      </c>
      <c r="HC61" s="149" t="str">
        <f t="shared" si="127"/>
        <v>Cumple</v>
      </c>
      <c r="HD61" s="149" t="str">
        <f t="shared" si="127"/>
        <v>Cumplido</v>
      </c>
      <c r="HE61" s="149" t="str">
        <f t="shared" si="127"/>
        <v>Adecuado</v>
      </c>
      <c r="HF61" s="149" t="str">
        <f t="shared" si="127"/>
        <v>Coherente</v>
      </c>
      <c r="HG61" s="149" t="str">
        <f t="shared" si="127"/>
        <v>Concuerda</v>
      </c>
      <c r="HH61" s="149" t="str">
        <f t="shared" si="127"/>
        <v>Concuerda</v>
      </c>
      <c r="HI61" s="149" t="str">
        <f t="shared" si="127"/>
        <v>No aplica</v>
      </c>
      <c r="HJ61" s="149" t="str">
        <f t="shared" si="127"/>
        <v>Adecuado</v>
      </c>
      <c r="HK61" s="149" t="str">
        <f t="shared" si="127"/>
        <v>Oportuna</v>
      </c>
      <c r="HL61" s="149" t="str">
        <f t="shared" si="127"/>
        <v>Ninguna</v>
      </c>
      <c r="HM61" s="149" t="str">
        <f t="shared" si="128"/>
        <v>Sandra Patricia Ortiz Barrera</v>
      </c>
      <c r="HN61" s="149" t="str">
        <f t="shared" si="128"/>
        <v>Cumple</v>
      </c>
      <c r="HO61" s="149" t="str">
        <f t="shared" si="128"/>
        <v>Cumplido</v>
      </c>
      <c r="HP61" s="149" t="str">
        <f t="shared" si="128"/>
        <v>Adecuado</v>
      </c>
      <c r="HQ61" s="149" t="str">
        <f t="shared" si="128"/>
        <v>Coherente</v>
      </c>
      <c r="HR61" s="149" t="str">
        <f t="shared" si="128"/>
        <v>Concuerda</v>
      </c>
      <c r="HS61" s="149" t="str">
        <f t="shared" si="128"/>
        <v>Concuerda</v>
      </c>
      <c r="HT61" s="149" t="str">
        <f t="shared" si="128"/>
        <v>No aplica</v>
      </c>
      <c r="HU61" s="149" t="str">
        <f t="shared" si="128"/>
        <v>Adecuado</v>
      </c>
      <c r="HV61" s="149" t="str">
        <f t="shared" si="128"/>
        <v>Oportuna</v>
      </c>
      <c r="HW61" s="149" t="str">
        <f t="shared" si="128"/>
        <v>Ninguna</v>
      </c>
      <c r="HX61" s="149">
        <f t="shared" si="128"/>
        <v>0</v>
      </c>
    </row>
    <row r="62" spans="1:232" x14ac:dyDescent="0.3">
      <c r="A62" s="225">
        <v>128</v>
      </c>
      <c r="B62" s="146" t="s">
        <v>1144</v>
      </c>
      <c r="C62" s="146" t="s">
        <v>1144</v>
      </c>
      <c r="D62" s="146" t="s">
        <v>1144</v>
      </c>
      <c r="E62" s="146" t="s">
        <v>1144</v>
      </c>
      <c r="F62" s="136" t="s">
        <v>1706</v>
      </c>
      <c r="G62" s="146" t="s">
        <v>1144</v>
      </c>
      <c r="H62" s="146" t="s">
        <v>1144</v>
      </c>
      <c r="I62" s="149" t="s">
        <v>1146</v>
      </c>
      <c r="J62" s="154" t="s">
        <v>117</v>
      </c>
      <c r="K62" s="154" t="s">
        <v>118</v>
      </c>
      <c r="L62" s="154" t="s">
        <v>1696</v>
      </c>
      <c r="M62" s="154" t="s">
        <v>1201</v>
      </c>
      <c r="N62" s="154" t="s">
        <v>1202</v>
      </c>
      <c r="O62" s="154" t="s">
        <v>1203</v>
      </c>
      <c r="P62" s="148" t="s">
        <v>1706</v>
      </c>
      <c r="Q62" s="154" t="s">
        <v>1707</v>
      </c>
      <c r="R62" s="154" t="s">
        <v>1708</v>
      </c>
      <c r="S62" s="154" t="s">
        <v>1709</v>
      </c>
      <c r="T62" s="154" t="s">
        <v>1710</v>
      </c>
      <c r="U62" s="154" t="s">
        <v>1711</v>
      </c>
      <c r="V62" s="154" t="s">
        <v>1712</v>
      </c>
      <c r="W62" s="148" t="s">
        <v>601</v>
      </c>
      <c r="X62" s="154" t="s">
        <v>601</v>
      </c>
      <c r="Y62" s="154" t="s">
        <v>1713</v>
      </c>
      <c r="Z62" s="154" t="s">
        <v>1714</v>
      </c>
      <c r="AA62" s="154" t="s">
        <v>1715</v>
      </c>
      <c r="AB62" s="154" t="s">
        <v>602</v>
      </c>
      <c r="AC62" s="154" t="s">
        <v>1271</v>
      </c>
      <c r="AD62" s="154" t="s">
        <v>1031</v>
      </c>
      <c r="AE62" s="154">
        <v>2016</v>
      </c>
      <c r="AF62" s="154">
        <v>0.8</v>
      </c>
      <c r="AG62" s="154">
        <v>2016</v>
      </c>
      <c r="AH62" s="154">
        <v>0.8</v>
      </c>
      <c r="AI62" s="154">
        <v>0.8</v>
      </c>
      <c r="AJ62" s="154">
        <v>0.8</v>
      </c>
      <c r="AK62" s="154">
        <v>0.95</v>
      </c>
      <c r="AL62" s="228">
        <v>0.8</v>
      </c>
      <c r="AM62" s="154">
        <v>0</v>
      </c>
      <c r="AN62" s="146" t="s">
        <v>1144</v>
      </c>
      <c r="AO62" s="146" t="s">
        <v>1144</v>
      </c>
      <c r="AP62" s="146" t="s">
        <v>1144</v>
      </c>
      <c r="AQ62" s="146" t="s">
        <v>1144</v>
      </c>
      <c r="AR62" s="146" t="s">
        <v>1144</v>
      </c>
      <c r="AS62" s="150" t="s">
        <v>1144</v>
      </c>
      <c r="AT62" s="232">
        <v>80</v>
      </c>
      <c r="AU62" s="232">
        <v>80</v>
      </c>
      <c r="AV62" s="232">
        <v>80</v>
      </c>
      <c r="AW62" s="232">
        <v>95</v>
      </c>
      <c r="AX62" s="211">
        <v>80</v>
      </c>
      <c r="AY62" s="232">
        <v>0</v>
      </c>
      <c r="BD62" s="149">
        <v>0</v>
      </c>
      <c r="BE62" s="149"/>
      <c r="BF62" s="149"/>
      <c r="BG62" s="149"/>
      <c r="BH62" s="149"/>
      <c r="BI62" s="149"/>
      <c r="BJ62" s="149">
        <v>0</v>
      </c>
      <c r="BK62" s="146" t="s">
        <v>1144</v>
      </c>
      <c r="BL62" s="146" t="s">
        <v>1144</v>
      </c>
      <c r="BM62" s="146" t="s">
        <v>1144</v>
      </c>
      <c r="BN62" s="146" t="s">
        <v>1144</v>
      </c>
      <c r="BO62" s="146" t="s">
        <v>1144</v>
      </c>
      <c r="BP62" s="146" t="s">
        <v>1144</v>
      </c>
      <c r="BQ62" s="146" t="s">
        <v>1144</v>
      </c>
      <c r="BR62" s="146" t="s">
        <v>1144</v>
      </c>
      <c r="BS62" s="146" t="s">
        <v>1144</v>
      </c>
      <c r="BT62" s="146" t="s">
        <v>1144</v>
      </c>
      <c r="BU62" s="146" t="s">
        <v>1144</v>
      </c>
      <c r="BV62" s="146" t="s">
        <v>1144</v>
      </c>
      <c r="BW62" s="154" t="s">
        <v>1144</v>
      </c>
      <c r="BX62" s="154" t="s">
        <v>1144</v>
      </c>
      <c r="BY62" s="154" t="s">
        <v>1144</v>
      </c>
      <c r="BZ62" s="154">
        <v>1</v>
      </c>
      <c r="CA62" s="154" t="s">
        <v>1144</v>
      </c>
      <c r="CB62" s="154" t="s">
        <v>1144</v>
      </c>
      <c r="CC62" s="154" t="s">
        <v>1144</v>
      </c>
      <c r="CD62" s="219">
        <v>1</v>
      </c>
      <c r="CE62" s="219" t="s">
        <v>314</v>
      </c>
      <c r="CF62" s="154" t="s">
        <v>1144</v>
      </c>
      <c r="CG62" s="154" t="s">
        <v>1144</v>
      </c>
      <c r="CH62" s="154" t="s">
        <v>1144</v>
      </c>
      <c r="CI62" s="154" t="s">
        <v>1144</v>
      </c>
      <c r="CJ62" s="154" t="s">
        <v>1144</v>
      </c>
      <c r="CK62" s="154" t="s">
        <v>1144</v>
      </c>
      <c r="CL62" s="154" t="s">
        <v>1144</v>
      </c>
      <c r="CM62" s="154" t="s">
        <v>1144</v>
      </c>
      <c r="CN62" s="154" t="s">
        <v>1144</v>
      </c>
      <c r="CO62" s="154" t="s">
        <v>1144</v>
      </c>
      <c r="CP62" s="154">
        <v>1</v>
      </c>
      <c r="CQ62" s="154" t="s">
        <v>1144</v>
      </c>
      <c r="CR62" s="154" t="s">
        <v>1144</v>
      </c>
      <c r="CS62" s="154" t="s">
        <v>1144</v>
      </c>
      <c r="CT62" s="154" t="s">
        <v>1144</v>
      </c>
      <c r="CU62" s="154" t="s">
        <v>1144</v>
      </c>
      <c r="CV62" s="154" t="s">
        <v>1144</v>
      </c>
      <c r="CW62" s="154" t="s">
        <v>1144</v>
      </c>
      <c r="CX62" s="154" t="s">
        <v>1144</v>
      </c>
      <c r="CY62" s="154" t="s">
        <v>1144</v>
      </c>
      <c r="CZ62" s="154" t="s">
        <v>1144</v>
      </c>
      <c r="DA62" s="154" t="s">
        <v>1144</v>
      </c>
      <c r="DB62" s="152" t="str">
        <f t="shared" si="32"/>
        <v xml:space="preserve">Plan de Acción, SGC, PROCESO: Gestión de Recursos Físicos, PLAN ESTRATÉGICO DE TALENTO HUMANO, </v>
      </c>
      <c r="DC62" s="149" t="str">
        <f t="shared" si="151"/>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
      <c r="DD62" s="149" t="str">
        <f t="shared" si="151"/>
        <v xml:space="preserve">• Gestionar los tramites de recursos físicos </v>
      </c>
      <c r="DE62" s="149" t="str">
        <f t="shared" si="151"/>
        <v>Se requiere cumplir con los tiempos normativos establecidos para la atención a los trámites de recursos físicos, para que los funcionarios puedan contar con elementos en buen estado y de manera oportuna que permitan la prestacion de sus servicios.</v>
      </c>
      <c r="DF62" s="149" t="str">
        <f t="shared" si="151"/>
        <v>*Informe de acuerdo con la informacion descargada del Sistema de correspondencia interna del SAI</v>
      </c>
      <c r="DG62" s="149" t="str">
        <f t="shared" si="151"/>
        <v>Constante</v>
      </c>
      <c r="DH62" s="149" t="str">
        <f t="shared" si="129"/>
        <v/>
      </c>
      <c r="DI62" s="149">
        <f t="shared" si="130"/>
        <v>80</v>
      </c>
      <c r="DJ62" s="149">
        <f t="shared" si="131"/>
        <v>80</v>
      </c>
      <c r="DK62" s="149">
        <f t="shared" si="132"/>
        <v>80</v>
      </c>
      <c r="DL62" s="149">
        <f t="shared" si="133"/>
        <v>80</v>
      </c>
      <c r="DM62" s="149">
        <f t="shared" si="134"/>
        <v>80</v>
      </c>
      <c r="DN62" s="149">
        <f t="shared" si="135"/>
        <v>80</v>
      </c>
      <c r="DO62" s="149">
        <f t="shared" si="100"/>
        <v>80</v>
      </c>
      <c r="DP62" s="149">
        <f t="shared" si="100"/>
        <v>80</v>
      </c>
      <c r="DQ62" s="149">
        <f t="shared" si="100"/>
        <v>80</v>
      </c>
      <c r="DR62" s="149">
        <f t="shared" si="100"/>
        <v>80</v>
      </c>
      <c r="DS62" s="149">
        <f t="shared" si="100"/>
        <v>80</v>
      </c>
      <c r="DT62" s="149">
        <f t="shared" si="100"/>
        <v>80</v>
      </c>
      <c r="DU62" s="149">
        <f t="shared" si="152"/>
        <v>80</v>
      </c>
      <c r="DV62" s="149">
        <f t="shared" si="152"/>
        <v>233</v>
      </c>
      <c r="DW62" s="149">
        <f t="shared" si="152"/>
        <v>277</v>
      </c>
      <c r="DX62" s="149" t="str">
        <f t="shared" si="152"/>
        <v>Se reciben en total 277 solicitudes de las cuales 19 corresponden a ingreso de elementos, 37 a solicitud de elementos de consumo, 5 a solicitud de elementos devolutivos, 155 a traslado entre funcionarios y 61 traslado funcionario a bodega. De este total fueron atendidas dentro de los tiempos establecidos 233 solicitudes lo que corresponde a un 84%.</v>
      </c>
      <c r="DY62" s="149" t="str">
        <f t="shared" si="152"/>
        <v>Se presentaron solicitudes en el ultimo día para recepción que no permitio tramitar dentro del mismo mes.</v>
      </c>
      <c r="DZ62" s="149" t="str">
        <f t="shared" si="152"/>
        <v>Se evidencia la atención oportuna de las solicitudes de las diferentecs dependencias, las cuales se registran en el CI</v>
      </c>
      <c r="EA62" s="149">
        <f t="shared" si="152"/>
        <v>418</v>
      </c>
      <c r="EB62" s="149">
        <f t="shared" si="152"/>
        <v>440</v>
      </c>
      <c r="EC62" s="149" t="str">
        <f t="shared" si="152"/>
        <v>Se reciben en total 440 solicitudes de las cuales 14 corresponden a ingreso de elementos, 28 a solicitud de elementos de consumo, 2 a solicitud de elementos devolutivos, 319 a traslado entre funcionarios y 77 traslado funcionario a bodega. De este total fueron atendidas dentro de los tiempos establecidos 418 solictudes lo que corresponde a un 95%.</v>
      </c>
      <c r="ED62" s="149" t="str">
        <f t="shared" si="152"/>
        <v>No se presentaron retrasos o dificutades</v>
      </c>
      <c r="EE62" s="149" t="str">
        <f t="shared" si="152"/>
        <v>No se presentaron retrasos o dificutades</v>
      </c>
      <c r="EF62" s="149">
        <f t="shared" si="152"/>
        <v>266</v>
      </c>
      <c r="EG62" s="149">
        <f t="shared" si="152"/>
        <v>282</v>
      </c>
      <c r="EH62" s="149" t="str">
        <f t="shared" si="152"/>
        <v>Se reciben en total 282 solicitudes de las cuales 3 corresponden a ingreso de elementos, 15 a solicitud de elementos de consumo, 223 a traslado entre funcionarios y 41 traslado funcionario a bodega. De este total fueron atendidas dentro de los tiempos establecidos 266 solicitudes lo que corresponde a un 94%.</v>
      </c>
      <c r="EI62" s="149" t="str">
        <f t="shared" si="152"/>
        <v>No se presentaron retrasos o dificutades</v>
      </c>
      <c r="EJ62" s="149" t="str">
        <f t="shared" si="152"/>
        <v>Se evidencia la atención oportuna de las solicitudes de las diferentecs dependencias, las cuales se registran en el CI</v>
      </c>
      <c r="EK62" s="149">
        <f t="shared" si="153"/>
        <v>4</v>
      </c>
      <c r="EL62" s="149">
        <f t="shared" si="153"/>
        <v>4</v>
      </c>
      <c r="EM62" s="149" t="str">
        <f t="shared" si="153"/>
        <v>Se reciben en total 4 solicitudes de las cuales 1 corresponden a ingreso de elementos, 1 a solicitud de elementos de consumo, 2 a traslado funcionario a bodega. De este total fueron atendidas dentro de los tiempos establecidos 4 solicitudes lo que corresponde a un 100%.</v>
      </c>
      <c r="EN62" s="149" t="str">
        <f t="shared" si="153"/>
        <v>No se presentaron retrasos o dificutades</v>
      </c>
      <c r="EO62" s="149" t="str">
        <f t="shared" si="153"/>
        <v>Se evidencia la atención oportuna de las solicitudes de las diferentecs dependencias, las cuales se registran en el CI</v>
      </c>
      <c r="EP62" s="149">
        <f t="shared" si="153"/>
        <v>92</v>
      </c>
      <c r="EQ62" s="149">
        <f t="shared" si="153"/>
        <v>115</v>
      </c>
      <c r="ER62" s="149" t="str">
        <f t="shared" si="153"/>
        <v>Se reciben en total 115 solicitudes de las cuales 3 corresponden a ingreso de elementos, 2 a solicitud de elementos de consumo, 94 a traslado entre funcionarios, 16 traslado funcionario a bodega. De este total fueron atendidas dentro de los tiempos establecidos 92 solicitudes, lo que corresponde a un 80%.</v>
      </c>
      <c r="ES62" s="149" t="str">
        <f t="shared" si="153"/>
        <v>Se presentaron solicitudes en el ultimo día para recepción que no permitio tramitar dentro del mismo mes.</v>
      </c>
      <c r="ET62" s="149" t="str">
        <f t="shared" si="153"/>
        <v>Se evidencia la atención oportuna de las solicitudes de las diferentecs dependencias, las cuales se registran en el CI</v>
      </c>
      <c r="EU62" s="149">
        <f t="shared" si="125"/>
        <v>405</v>
      </c>
      <c r="EV62" s="149">
        <f t="shared" si="125"/>
        <v>593</v>
      </c>
      <c r="EW62" s="149" t="str">
        <f t="shared" si="125"/>
        <v>Se reciben en tota 593 solicitudes de las cuales 10 corresponden a ingreso de elementos, 10 a solicitud de elementos de consumo, 540 a traslado entre funcionarios, 17  traslado funcionario a bodega. De este total fueron atendidas dentro de los tiempos establecidos 405 solicitudes, lo que corresponde a un 68%.</v>
      </c>
      <c r="EX62" s="149" t="str">
        <f t="shared" si="125"/>
        <v>Insuficiencia de personal para atender las solicitudes debido a vacancia de un cargo auxiliar y toma de vacaciones por parte de otro funcionario.</v>
      </c>
      <c r="EY62" s="149" t="str">
        <f t="shared" si="125"/>
        <v>Se evidencia la atención oportuna de las solicitudes de las diferentes dependencias, las cuales se registran en el CI</v>
      </c>
      <c r="EZ62" s="149">
        <f t="shared" si="153"/>
        <v>1418</v>
      </c>
      <c r="FA62" s="149">
        <f t="shared" si="153"/>
        <v>1711</v>
      </c>
      <c r="FB62" s="149">
        <f t="shared" si="153"/>
        <v>0</v>
      </c>
      <c r="FC62" s="149">
        <f t="shared" si="153"/>
        <v>0</v>
      </c>
      <c r="FD62" s="149">
        <f t="shared" si="153"/>
        <v>0</v>
      </c>
      <c r="FE62" s="149">
        <f t="shared" si="153"/>
        <v>0</v>
      </c>
      <c r="FF62" s="149">
        <f t="shared" si="154"/>
        <v>0</v>
      </c>
      <c r="FG62" s="149">
        <f t="shared" si="154"/>
        <v>0</v>
      </c>
      <c r="FH62" s="149">
        <f t="shared" si="154"/>
        <v>0</v>
      </c>
      <c r="FI62" s="149">
        <f t="shared" si="154"/>
        <v>0</v>
      </c>
      <c r="FJ62" s="149">
        <f t="shared" si="154"/>
        <v>0</v>
      </c>
      <c r="FK62" s="149">
        <f t="shared" si="154"/>
        <v>0</v>
      </c>
      <c r="FL62" s="149">
        <f t="shared" si="154"/>
        <v>0</v>
      </c>
      <c r="FM62" s="149">
        <f t="shared" si="154"/>
        <v>0</v>
      </c>
      <c r="FN62" s="149">
        <f t="shared" si="154"/>
        <v>0</v>
      </c>
      <c r="FO62" s="149">
        <f t="shared" si="154"/>
        <v>0</v>
      </c>
      <c r="FP62" s="149">
        <f t="shared" si="154"/>
        <v>0</v>
      </c>
      <c r="FQ62" s="149">
        <f t="shared" si="154"/>
        <v>0</v>
      </c>
      <c r="FR62" s="149">
        <f t="shared" si="154"/>
        <v>0</v>
      </c>
      <c r="FS62" s="149">
        <f t="shared" si="154"/>
        <v>0</v>
      </c>
      <c r="FT62" s="149">
        <f t="shared" si="154"/>
        <v>0</v>
      </c>
      <c r="FU62" s="149">
        <f t="shared" si="154"/>
        <v>0</v>
      </c>
      <c r="FV62" s="149">
        <f t="shared" si="155"/>
        <v>0</v>
      </c>
      <c r="FW62" s="149">
        <f t="shared" si="155"/>
        <v>0</v>
      </c>
      <c r="FX62" s="149">
        <f t="shared" si="155"/>
        <v>0</v>
      </c>
      <c r="FY62" s="149">
        <f t="shared" si="155"/>
        <v>0</v>
      </c>
      <c r="FZ62" s="149">
        <f t="shared" si="155"/>
        <v>0</v>
      </c>
      <c r="GA62" s="149">
        <f t="shared" si="155"/>
        <v>0</v>
      </c>
      <c r="GB62" s="149">
        <f t="shared" si="155"/>
        <v>0</v>
      </c>
      <c r="GC62" s="149">
        <f t="shared" si="155"/>
        <v>0</v>
      </c>
      <c r="GD62" s="149">
        <f t="shared" si="155"/>
        <v>0</v>
      </c>
      <c r="GE62" s="149">
        <f t="shared" si="155"/>
        <v>0</v>
      </c>
      <c r="GF62" s="149">
        <f t="shared" si="136"/>
        <v>0.84115523465703967</v>
      </c>
      <c r="GG62" s="149">
        <f t="shared" si="137"/>
        <v>0.95</v>
      </c>
      <c r="GH62" s="149">
        <f t="shared" si="138"/>
        <v>0.94326241134751776</v>
      </c>
      <c r="GI62" s="149">
        <f t="shared" si="139"/>
        <v>1</v>
      </c>
      <c r="GJ62" s="149">
        <f t="shared" si="140"/>
        <v>0.8</v>
      </c>
      <c r="GK62" s="149">
        <f t="shared" si="141"/>
        <v>0.82875511396843948</v>
      </c>
      <c r="GL62" s="149">
        <f t="shared" si="142"/>
        <v>84.115523465703973</v>
      </c>
      <c r="GM62" s="149">
        <f t="shared" si="143"/>
        <v>95</v>
      </c>
      <c r="GN62" s="149">
        <f t="shared" si="144"/>
        <v>94.326241134751783</v>
      </c>
      <c r="GO62" s="149">
        <f t="shared" si="145"/>
        <v>100</v>
      </c>
      <c r="GP62" s="149">
        <f t="shared" si="146"/>
        <v>80</v>
      </c>
      <c r="GQ62" s="149">
        <f t="shared" si="146"/>
        <v>68.29679595278246</v>
      </c>
      <c r="GR62" s="153">
        <f t="shared" si="124"/>
        <v>86.956426758873036</v>
      </c>
      <c r="GS62" s="149">
        <f t="shared" si="156"/>
        <v>105.14440433212997</v>
      </c>
      <c r="GT62" s="149">
        <f>+IF(OR($A62=52,$A62=124),1,IFERROR(IF($X62="Creciente",IF($AB62="Número",SUM($GL62:GM62)/SUM($DO62:DP62)*($AX62-$AW62),SUM($GL62:GM62)/SUM($DO62:DP62))*($AX62-$AW62),IF($DG62="Creciente",GM62*GM62/GM62,IF(AND($DG62="Constante",$AB62="Porcentaje"),AVERAGEIF($GL62:GM62,"&lt;&gt;0")/AVERAGEIF($DO62:DP62,"&lt;&gt;0")*100,SUM($GL62:GM62)/SUM($DO62:DP62)*$DU62))),GS62))</f>
        <v>111.94720216606497</v>
      </c>
      <c r="GU62" s="149">
        <f>+IF(OR($A62=52,$A62=124),1,IFERROR(IF($X62="Creciente",IF($AB62="Número",SUM($GL62:GN62)/SUM($DO62:DQ62)*($AX62-$AW62),SUM($GL62:GN62)/SUM($DO62:DQ62))*($AX62-$AW62),IF($DG62="Creciente",GN62*GN62/GN62,IF(AND($DG62="Constante",$AB62="Porcentaje"),AVERAGEIF($GL62:GN62,"&lt;&gt;0")/AVERAGEIF($DO62:DQ62,"&lt;&gt;0")*100,SUM($GL62:GN62)/SUM($DO62:DQ62)*$DU62))),GT62))</f>
        <v>113.93406858352324</v>
      </c>
      <c r="GV62" s="149">
        <f>+IF(OR($A62=52,$A62=124),1,IFERROR(IF($X62="Creciente",IF($AB62="Número",SUM($GL62:GO62)/SUM($DO62:DR62)*($AX62-$AW62),SUM($GL62:GO62)/SUM($DO62:DR62))*($AX62-$AW62),IF($DG62="Creciente",GO62*GO62/GO62,IF(AND($DG62="Constante",$AB62="Porcentaje"),AVERAGEIF($GL62:GO62,"&lt;&gt;0")/AVERAGEIF($DO62:DR62,"&lt;&gt;0")*100,SUM($GL62:GO62)/SUM($DO62:DR62)*$DU62))),GU62))</f>
        <v>116.70055143764242</v>
      </c>
      <c r="GW62" s="149">
        <f>+IF(OR($A62=52,$A62=124),1,IFERROR(IF($X62="Creciente",IF($AB62="Número",SUM($GL62:GP62)/SUM($DO62:DS62)*($AX62-$AW62),SUM($GL62:GP62)/SUM($DO62:DS62))*($AX62-$AW62),IF($DG62="Creciente",GP62*GP62/GP62,IF(AND($DG62="Constante",$AB62="Porcentaje"),AVERAGEIF($GL62:GP62,"&lt;&gt;0")/AVERAGEIF($DO62:DS62,"&lt;&gt;0")*100,SUM($GL62:GP62)/SUM($DO62:DS62)*$DU62))),GV62))</f>
        <v>113.36044115011394</v>
      </c>
      <c r="GX62" s="149">
        <f>+IF(OR($A62=52,$A62=124),1,IFERROR(IF($X62="Creciente",IF($AB62="Número",SUM($GL62:GQ62)/SUM($DO62:DT62)*($AX62-$AW62),SUM($GL62:GQ62)/SUM($DO62:DT62))*($AX62-$AW62),IF($DG62="Creciente",GQ62*GQ62/GQ62,IF(AND($DG62="Constante",$AB62="Porcentaje"),AVERAGEIF($GL62:GQ62,"&lt;&gt;0")/AVERAGEIF($DO62:DT62,"&lt;&gt;0")*100,SUM($GL62:GQ62)/SUM($DO62:DT62)*$DU62))),GW62))</f>
        <v>108.69553344859129</v>
      </c>
      <c r="GY62" s="149" t="str">
        <f t="shared" si="147"/>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
      <c r="GZ62" s="149" t="str">
        <f t="shared" si="148"/>
        <v xml:space="preserve">• Gestionar los tramites de recursos físicos </v>
      </c>
      <c r="HA62" s="149" t="str">
        <f t="shared" si="149"/>
        <v>Se requiere cumplir con los tiempos normativos establecidos para la atención a los trámites de recursos físicos, para que los funcionarios puedan contar con elementos en buen estado y de manera oportuna que permitan la prestacion de sus servicios.</v>
      </c>
      <c r="HB62" s="149" t="str">
        <f t="shared" si="150"/>
        <v>*Informe de acuerdo con la informacion descargada del Sistema de correspondencia interna del SAI</v>
      </c>
      <c r="HC62" s="149" t="str">
        <f t="shared" si="127"/>
        <v>Cumple</v>
      </c>
      <c r="HD62" s="149" t="str">
        <f t="shared" si="127"/>
        <v>Anticipado</v>
      </c>
      <c r="HE62" s="149" t="str">
        <f t="shared" si="127"/>
        <v>Adecuado</v>
      </c>
      <c r="HF62" s="149" t="str">
        <f t="shared" si="127"/>
        <v>Coherente</v>
      </c>
      <c r="HG62" s="149" t="str">
        <f t="shared" si="127"/>
        <v>Concuerda</v>
      </c>
      <c r="HH62" s="149" t="str">
        <f t="shared" si="127"/>
        <v>No aplica</v>
      </c>
      <c r="HI62" s="149" t="str">
        <f t="shared" si="127"/>
        <v>No aplica</v>
      </c>
      <c r="HJ62" s="149" t="str">
        <f t="shared" si="127"/>
        <v>Adecuado</v>
      </c>
      <c r="HK62" s="149" t="str">
        <f t="shared" si="127"/>
        <v>Oportuna</v>
      </c>
      <c r="HL62" s="149" t="str">
        <f t="shared" si="127"/>
        <v>Ninguna</v>
      </c>
      <c r="HM62" s="149" t="str">
        <f t="shared" si="128"/>
        <v>Fernando Escobar Mendoza</v>
      </c>
      <c r="HN62" s="149" t="str">
        <f t="shared" si="128"/>
        <v>No aplica</v>
      </c>
      <c r="HO62" s="149" t="str">
        <f t="shared" si="128"/>
        <v>Satisfactorio</v>
      </c>
      <c r="HP62" s="149" t="str">
        <f t="shared" si="128"/>
        <v>Adecuado</v>
      </c>
      <c r="HQ62" s="149" t="str">
        <f t="shared" si="128"/>
        <v>Coherente</v>
      </c>
      <c r="HR62" s="149" t="str">
        <f t="shared" si="128"/>
        <v>Concuerda</v>
      </c>
      <c r="HS62" s="149" t="str">
        <f t="shared" si="128"/>
        <v>Concuerda</v>
      </c>
      <c r="HT62" s="149" t="str">
        <f t="shared" si="128"/>
        <v>No aplica</v>
      </c>
      <c r="HU62" s="149" t="str">
        <f t="shared" si="128"/>
        <v>Adecuado</v>
      </c>
      <c r="HV62" s="149" t="str">
        <f t="shared" si="128"/>
        <v>Oportuna</v>
      </c>
      <c r="HW62" s="149" t="str">
        <f t="shared" si="128"/>
        <v>En fuentes de infromación se hace referencia a "Informe de acuerdo a información desagregada del sistema de correspondencia interna del SAI"; en la evidencias aparece un archivo de excel denominado "Consolidado de solicitudes Junio" que muesdtra una tabla de solicitudes clasificadas por tipo y el porcentaje de cumplimiento, en cionsecuencia se debería hacer referencia es al reporte del sistema y no aun informe como fuente de información del indicador.</v>
      </c>
      <c r="HX62" s="149" t="str">
        <f t="shared" si="128"/>
        <v>Fernando Escobar Mendoza</v>
      </c>
    </row>
    <row r="63" spans="1:232" x14ac:dyDescent="0.3">
      <c r="A63" s="225">
        <v>129</v>
      </c>
      <c r="B63" s="146" t="s">
        <v>1144</v>
      </c>
      <c r="C63" s="146" t="s">
        <v>1144</v>
      </c>
      <c r="D63" s="146" t="s">
        <v>1144</v>
      </c>
      <c r="E63" s="146" t="s">
        <v>1144</v>
      </c>
      <c r="F63" s="136" t="s">
        <v>1716</v>
      </c>
      <c r="G63" s="146" t="s">
        <v>1144</v>
      </c>
      <c r="H63" s="146" t="s">
        <v>1144</v>
      </c>
      <c r="I63" s="149" t="s">
        <v>1146</v>
      </c>
      <c r="J63" s="154" t="s">
        <v>117</v>
      </c>
      <c r="K63" s="154" t="s">
        <v>118</v>
      </c>
      <c r="L63" s="154" t="s">
        <v>1696</v>
      </c>
      <c r="M63" s="154" t="s">
        <v>1201</v>
      </c>
      <c r="N63" s="154" t="s">
        <v>1202</v>
      </c>
      <c r="O63" s="154" t="s">
        <v>1203</v>
      </c>
      <c r="P63" s="148" t="s">
        <v>1716</v>
      </c>
      <c r="Q63" s="154" t="s">
        <v>1717</v>
      </c>
      <c r="R63" s="154" t="s">
        <v>1718</v>
      </c>
      <c r="S63" s="154" t="s">
        <v>1719</v>
      </c>
      <c r="T63" s="154" t="s">
        <v>1720</v>
      </c>
      <c r="U63" s="154" t="s">
        <v>1721</v>
      </c>
      <c r="V63" s="154" t="s">
        <v>1722</v>
      </c>
      <c r="W63" s="148" t="s">
        <v>601</v>
      </c>
      <c r="X63" s="154" t="s">
        <v>601</v>
      </c>
      <c r="Y63" s="154" t="s">
        <v>1723</v>
      </c>
      <c r="Z63" s="154" t="s">
        <v>1724</v>
      </c>
      <c r="AA63" s="154" t="s">
        <v>1725</v>
      </c>
      <c r="AB63" s="154" t="s">
        <v>602</v>
      </c>
      <c r="AC63" s="154" t="s">
        <v>1475</v>
      </c>
      <c r="AD63" s="154" t="s">
        <v>1031</v>
      </c>
      <c r="AE63" s="154">
        <v>2016</v>
      </c>
      <c r="AF63" s="154">
        <v>0.8</v>
      </c>
      <c r="AG63" s="154">
        <v>2016</v>
      </c>
      <c r="AH63" s="154">
        <v>0.8</v>
      </c>
      <c r="AI63" s="154">
        <v>0.9</v>
      </c>
      <c r="AJ63" s="154">
        <v>0.9</v>
      </c>
      <c r="AK63" s="154">
        <v>0.95</v>
      </c>
      <c r="AL63" s="228">
        <v>0.95</v>
      </c>
      <c r="AM63" s="154">
        <v>0</v>
      </c>
      <c r="AN63" s="146" t="s">
        <v>1144</v>
      </c>
      <c r="AO63" s="146" t="s">
        <v>1144</v>
      </c>
      <c r="AP63" s="146" t="s">
        <v>1144</v>
      </c>
      <c r="AQ63" s="146" t="s">
        <v>1144</v>
      </c>
      <c r="AR63" s="146" t="s">
        <v>1144</v>
      </c>
      <c r="AS63" s="150" t="s">
        <v>1144</v>
      </c>
      <c r="AT63" s="232">
        <v>80</v>
      </c>
      <c r="AU63" s="232">
        <v>90</v>
      </c>
      <c r="AV63" s="232">
        <v>90</v>
      </c>
      <c r="AW63" s="232">
        <v>95</v>
      </c>
      <c r="AX63" s="211">
        <v>95</v>
      </c>
      <c r="AY63" s="232">
        <v>0</v>
      </c>
      <c r="BD63" s="149">
        <v>0</v>
      </c>
      <c r="BE63" s="149"/>
      <c r="BF63" s="149"/>
      <c r="BG63" s="149"/>
      <c r="BH63" s="149"/>
      <c r="BI63" s="149"/>
      <c r="BJ63" s="149">
        <v>0</v>
      </c>
      <c r="BK63" s="146" t="s">
        <v>1144</v>
      </c>
      <c r="BL63" s="146" t="s">
        <v>1144</v>
      </c>
      <c r="BM63" s="146" t="s">
        <v>1144</v>
      </c>
      <c r="BN63" s="146" t="s">
        <v>1144</v>
      </c>
      <c r="BO63" s="146" t="s">
        <v>1144</v>
      </c>
      <c r="BP63" s="146" t="s">
        <v>1144</v>
      </c>
      <c r="BQ63" s="146" t="s">
        <v>1144</v>
      </c>
      <c r="BR63" s="146" t="s">
        <v>1144</v>
      </c>
      <c r="BS63" s="146" t="s">
        <v>1144</v>
      </c>
      <c r="BT63" s="146" t="s">
        <v>1144</v>
      </c>
      <c r="BU63" s="146" t="s">
        <v>1144</v>
      </c>
      <c r="BV63" s="146" t="s">
        <v>1144</v>
      </c>
      <c r="BW63" s="154" t="s">
        <v>1144</v>
      </c>
      <c r="BX63" s="154" t="s">
        <v>1144</v>
      </c>
      <c r="BY63" s="154" t="s">
        <v>1144</v>
      </c>
      <c r="BZ63" s="154">
        <v>1</v>
      </c>
      <c r="CA63" s="154" t="s">
        <v>1144</v>
      </c>
      <c r="CB63" s="154" t="s">
        <v>1144</v>
      </c>
      <c r="CC63" s="154" t="s">
        <v>1144</v>
      </c>
      <c r="CD63" s="219">
        <v>1</v>
      </c>
      <c r="CE63" s="219" t="s">
        <v>314</v>
      </c>
      <c r="CF63" s="154" t="s">
        <v>1144</v>
      </c>
      <c r="CG63" s="154" t="s">
        <v>1144</v>
      </c>
      <c r="CH63" s="154" t="s">
        <v>1144</v>
      </c>
      <c r="CI63" s="154" t="s">
        <v>1144</v>
      </c>
      <c r="CJ63" s="154" t="s">
        <v>1144</v>
      </c>
      <c r="CK63" s="154" t="s">
        <v>1144</v>
      </c>
      <c r="CL63" s="154" t="s">
        <v>1144</v>
      </c>
      <c r="CM63" s="154" t="s">
        <v>1144</v>
      </c>
      <c r="CN63" s="154" t="s">
        <v>1144</v>
      </c>
      <c r="CO63" s="154" t="s">
        <v>1144</v>
      </c>
      <c r="CP63" s="154">
        <v>1</v>
      </c>
      <c r="CQ63" s="154" t="s">
        <v>1144</v>
      </c>
      <c r="CR63" s="154" t="s">
        <v>1144</v>
      </c>
      <c r="CS63" s="154" t="s">
        <v>1144</v>
      </c>
      <c r="CT63" s="154" t="s">
        <v>1144</v>
      </c>
      <c r="CU63" s="154" t="s">
        <v>1144</v>
      </c>
      <c r="CV63" s="154" t="s">
        <v>1144</v>
      </c>
      <c r="CW63" s="154" t="s">
        <v>1144</v>
      </c>
      <c r="CX63" s="154" t="s">
        <v>1144</v>
      </c>
      <c r="CY63" s="154" t="s">
        <v>1144</v>
      </c>
      <c r="CZ63" s="154" t="s">
        <v>1144</v>
      </c>
      <c r="DA63" s="154" t="s">
        <v>1144</v>
      </c>
      <c r="DB63" s="152" t="str">
        <f t="shared" si="32"/>
        <v xml:space="preserve">Plan de Acción, SGC, PROCESO: Gestión de Recursos Físicos, PLAN ESTRATÉGICO DE TALENTO HUMANO, </v>
      </c>
      <c r="DC63" s="149" t="str">
        <f t="shared" si="151"/>
        <v>Medir el nivel de satisfacción del usuario frente a la entrega oportuna de los elementos de consumo.  Con este indicador se pretende: medir los tiempos de entrega, calidad del servicio por parte de los servidores del proceso de Recursos Físicos</v>
      </c>
      <c r="DD63" s="149" t="str">
        <f t="shared" si="151"/>
        <v xml:space="preserve">• Entregar elementos de consumo satisfactoriamente </v>
      </c>
      <c r="DE63" s="149" t="str">
        <f t="shared" si="151"/>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
      <c r="DF63" s="149" t="str">
        <f t="shared" si="151"/>
        <v>* Encuestas de satisfacción aplicadas.
* Tabulación de encuestas de satisfacción</v>
      </c>
      <c r="DG63" s="149" t="str">
        <f t="shared" si="151"/>
        <v>Constante</v>
      </c>
      <c r="DH63" s="149" t="str">
        <f t="shared" si="129"/>
        <v/>
      </c>
      <c r="DI63" s="149">
        <f t="shared" si="130"/>
        <v>95</v>
      </c>
      <c r="DJ63" s="149">
        <f t="shared" si="131"/>
        <v>95</v>
      </c>
      <c r="DK63" s="149">
        <f t="shared" si="132"/>
        <v>95</v>
      </c>
      <c r="DL63" s="149">
        <f t="shared" si="133"/>
        <v>95</v>
      </c>
      <c r="DM63" s="149">
        <f t="shared" si="134"/>
        <v>95</v>
      </c>
      <c r="DN63" s="149">
        <f t="shared" si="135"/>
        <v>95</v>
      </c>
      <c r="DO63" s="149">
        <f t="shared" si="100"/>
        <v>95</v>
      </c>
      <c r="DP63" s="149">
        <f t="shared" si="100"/>
        <v>95</v>
      </c>
      <c r="DQ63" s="149">
        <f t="shared" si="100"/>
        <v>95</v>
      </c>
      <c r="DR63" s="149">
        <f t="shared" si="100"/>
        <v>95</v>
      </c>
      <c r="DS63" s="149">
        <f t="shared" si="100"/>
        <v>95</v>
      </c>
      <c r="DT63" s="149">
        <f t="shared" si="100"/>
        <v>95</v>
      </c>
      <c r="DU63" s="149">
        <f t="shared" si="152"/>
        <v>95</v>
      </c>
      <c r="DV63" s="149">
        <f t="shared" si="152"/>
        <v>100</v>
      </c>
      <c r="DW63" s="149">
        <f t="shared" si="152"/>
        <v>100</v>
      </c>
      <c r="DX63" s="149" t="str">
        <f t="shared" si="152"/>
        <v>Se evidencia una satisfaccion del 100% por parte de los usuarios frente al servicio de entrega de elementos de consumo.</v>
      </c>
      <c r="DY63" s="149" t="str">
        <f t="shared" si="152"/>
        <v>No se presentaron retrasos o dificutades</v>
      </c>
      <c r="DZ63" s="149" t="str">
        <f t="shared" si="152"/>
        <v xml:space="preserve">Alto niveel de satisfacción por parte de las dierentes dependenicas de la entidad, a la hora de la entrega y recibo de elementos de consumo según las solicitudes recibidas. </v>
      </c>
      <c r="EA63" s="149">
        <f t="shared" si="152"/>
        <v>100</v>
      </c>
      <c r="EB63" s="149">
        <f t="shared" si="152"/>
        <v>100</v>
      </c>
      <c r="EC63" s="149" t="str">
        <f t="shared" si="152"/>
        <v>Se evidencia una satisfaccion del 100% por parte de los usuarios frente al servicio de entrega de elementos de consumo.</v>
      </c>
      <c r="ED63" s="149" t="str">
        <f t="shared" si="152"/>
        <v>No se presentaron retrasos o dificutades</v>
      </c>
      <c r="EE63" s="149" t="str">
        <f t="shared" si="152"/>
        <v xml:space="preserve">Alto niveel de satisfacción por parte de las dierentes dependenicas de la entidad, a la hora de la entrega y recibo de elementos de consumo según las solicitudes recibidas. </v>
      </c>
      <c r="EF63" s="149">
        <f t="shared" si="152"/>
        <v>100</v>
      </c>
      <c r="EG63" s="149">
        <f t="shared" si="152"/>
        <v>100</v>
      </c>
      <c r="EH63" s="149" t="str">
        <f t="shared" si="152"/>
        <v>Se evidencia una satisfaccion del 100% por parte de los usuarios frente al servicio de entrega de elementos de consumo.</v>
      </c>
      <c r="EI63" s="149" t="str">
        <f t="shared" si="152"/>
        <v>No se presentaron retrasos o dificutades</v>
      </c>
      <c r="EJ63" s="149" t="str">
        <f t="shared" si="152"/>
        <v xml:space="preserve">Alto niveel de satisfacción por parte de las dierentes dependenicas de la entidad, a la hora de la entrega y recibo de elementos de consumo según las solicitudes recibidas. </v>
      </c>
      <c r="EK63" s="149">
        <f t="shared" si="153"/>
        <v>100</v>
      </c>
      <c r="EL63" s="149">
        <f t="shared" si="153"/>
        <v>100</v>
      </c>
      <c r="EM63" s="149" t="str">
        <f t="shared" si="153"/>
        <v>Se evidencia una satisfaccion del 100% por parte de los usuarios frente al servicio de entrega de elementos de consumo.</v>
      </c>
      <c r="EN63" s="149" t="str">
        <f t="shared" si="153"/>
        <v>No se presentaron retrasos o dificutades</v>
      </c>
      <c r="EO63" s="149" t="str">
        <f t="shared" si="153"/>
        <v xml:space="preserve">Alto niveel de satisfacción por parte de las dierentes dependenicas de la entidad, a la hora de la entrega y recibo de elementos de consumo según las solicitudes recibidas. </v>
      </c>
      <c r="EP63" s="149">
        <f t="shared" si="153"/>
        <v>100</v>
      </c>
      <c r="EQ63" s="149">
        <f t="shared" si="153"/>
        <v>100</v>
      </c>
      <c r="ER63" s="149" t="str">
        <f t="shared" si="153"/>
        <v>Se evidencia una satisfaccion del 100% por parte de los usuarios frente al servicio de entrega de elementos de consumo.</v>
      </c>
      <c r="ES63" s="149" t="str">
        <f t="shared" si="153"/>
        <v>No se presentaron retrasos o dificutades</v>
      </c>
      <c r="ET63" s="149" t="str">
        <f t="shared" si="153"/>
        <v xml:space="preserve">Alto niveel de satisfacción por parte de las dierentes dependenicas de la entidad, a la hora de la entrega y recibo de elementos de consumo según las solicitudes recibidas. </v>
      </c>
      <c r="EU63" s="149">
        <f t="shared" si="125"/>
        <v>100</v>
      </c>
      <c r="EV63" s="149">
        <f t="shared" si="125"/>
        <v>100</v>
      </c>
      <c r="EW63" s="149" t="str">
        <f t="shared" si="125"/>
        <v>Se evidencia una satisfaccion del 100% por parte de los usuarios frente al servicio de entrega de elementos de consumo.</v>
      </c>
      <c r="EX63" s="149" t="str">
        <f t="shared" si="125"/>
        <v>No se presentaron retrasos o dificutades</v>
      </c>
      <c r="EY63" s="149" t="str">
        <f t="shared" si="125"/>
        <v xml:space="preserve">Alto niveel de satisfacción por parte de las dierentes dependenicas de la entidad, a la hora de la entrega y recibo de elementos de consumo según las solicitudes recibidas. </v>
      </c>
      <c r="EZ63" s="149">
        <f t="shared" si="153"/>
        <v>600</v>
      </c>
      <c r="FA63" s="149">
        <f t="shared" si="153"/>
        <v>600</v>
      </c>
      <c r="FB63" s="149">
        <f t="shared" si="153"/>
        <v>0</v>
      </c>
      <c r="FC63" s="149">
        <f t="shared" si="153"/>
        <v>0</v>
      </c>
      <c r="FD63" s="149">
        <f t="shared" si="153"/>
        <v>0</v>
      </c>
      <c r="FE63" s="149">
        <f t="shared" si="153"/>
        <v>0</v>
      </c>
      <c r="FF63" s="149">
        <f t="shared" si="154"/>
        <v>0</v>
      </c>
      <c r="FG63" s="149">
        <f t="shared" si="154"/>
        <v>0</v>
      </c>
      <c r="FH63" s="149">
        <f t="shared" si="154"/>
        <v>0</v>
      </c>
      <c r="FI63" s="149">
        <f t="shared" si="154"/>
        <v>0</v>
      </c>
      <c r="FJ63" s="149">
        <f t="shared" si="154"/>
        <v>0</v>
      </c>
      <c r="FK63" s="149">
        <f t="shared" si="154"/>
        <v>0</v>
      </c>
      <c r="FL63" s="149">
        <f t="shared" si="154"/>
        <v>0</v>
      </c>
      <c r="FM63" s="149">
        <f t="shared" si="154"/>
        <v>0</v>
      </c>
      <c r="FN63" s="149">
        <f t="shared" si="154"/>
        <v>0</v>
      </c>
      <c r="FO63" s="149">
        <f t="shared" si="154"/>
        <v>0</v>
      </c>
      <c r="FP63" s="149">
        <f t="shared" si="154"/>
        <v>0</v>
      </c>
      <c r="FQ63" s="149">
        <f t="shared" si="154"/>
        <v>0</v>
      </c>
      <c r="FR63" s="149">
        <f t="shared" si="154"/>
        <v>0</v>
      </c>
      <c r="FS63" s="149">
        <f t="shared" si="154"/>
        <v>0</v>
      </c>
      <c r="FT63" s="149">
        <f t="shared" si="154"/>
        <v>0</v>
      </c>
      <c r="FU63" s="149">
        <f t="shared" si="154"/>
        <v>0</v>
      </c>
      <c r="FV63" s="149">
        <f t="shared" si="155"/>
        <v>0</v>
      </c>
      <c r="FW63" s="149">
        <f t="shared" si="155"/>
        <v>0</v>
      </c>
      <c r="FX63" s="149">
        <f t="shared" si="155"/>
        <v>0</v>
      </c>
      <c r="FY63" s="149">
        <f t="shared" si="155"/>
        <v>0</v>
      </c>
      <c r="FZ63" s="149">
        <f t="shared" si="155"/>
        <v>0</v>
      </c>
      <c r="GA63" s="149">
        <f t="shared" si="155"/>
        <v>0</v>
      </c>
      <c r="GB63" s="149">
        <f t="shared" si="155"/>
        <v>0</v>
      </c>
      <c r="GC63" s="149">
        <f t="shared" si="155"/>
        <v>0</v>
      </c>
      <c r="GD63" s="149">
        <f t="shared" si="155"/>
        <v>0</v>
      </c>
      <c r="GE63" s="149">
        <f t="shared" si="155"/>
        <v>0</v>
      </c>
      <c r="GF63" s="149">
        <f t="shared" si="136"/>
        <v>1</v>
      </c>
      <c r="GG63" s="149">
        <f t="shared" si="137"/>
        <v>1</v>
      </c>
      <c r="GH63" s="149">
        <f t="shared" si="138"/>
        <v>1</v>
      </c>
      <c r="GI63" s="149">
        <f t="shared" si="139"/>
        <v>1</v>
      </c>
      <c r="GJ63" s="149">
        <f t="shared" si="140"/>
        <v>1</v>
      </c>
      <c r="GK63" s="149">
        <f t="shared" si="141"/>
        <v>1</v>
      </c>
      <c r="GL63" s="149">
        <f t="shared" si="142"/>
        <v>100</v>
      </c>
      <c r="GM63" s="149">
        <f t="shared" si="143"/>
        <v>100</v>
      </c>
      <c r="GN63" s="149">
        <f t="shared" si="144"/>
        <v>100</v>
      </c>
      <c r="GO63" s="149">
        <f t="shared" si="145"/>
        <v>100</v>
      </c>
      <c r="GP63" s="149">
        <f t="shared" si="146"/>
        <v>100</v>
      </c>
      <c r="GQ63" s="149">
        <f t="shared" si="146"/>
        <v>100</v>
      </c>
      <c r="GR63" s="153">
        <f t="shared" si="124"/>
        <v>100</v>
      </c>
      <c r="GS63" s="149">
        <f t="shared" si="156"/>
        <v>105.26315789473684</v>
      </c>
      <c r="GT63" s="149">
        <f>+IF(OR($A63=52,$A63=124),1,IFERROR(IF($X63="Creciente",IF($AB63="Número",SUM($GL63:GM63)/SUM($DO63:DP63)*($AX63-$AW63),SUM($GL63:GM63)/SUM($DO63:DP63))*($AX63-$AW63),IF($DG63="Creciente",GM63*GM63/GM63,IF(AND($DG63="Constante",$AB63="Porcentaje"),AVERAGEIF($GL63:GM63,"&lt;&gt;0")/AVERAGEIF($DO63:DP63,"&lt;&gt;0")*100,SUM($GL63:GM63)/SUM($DO63:DP63)*$DU63))),GS63))</f>
        <v>105.26315789473684</v>
      </c>
      <c r="GU63" s="149">
        <f>+IF(OR($A63=52,$A63=124),1,IFERROR(IF($X63="Creciente",IF($AB63="Número",SUM($GL63:GN63)/SUM($DO63:DQ63)*($AX63-$AW63),SUM($GL63:GN63)/SUM($DO63:DQ63))*($AX63-$AW63),IF($DG63="Creciente",GN63*GN63/GN63,IF(AND($DG63="Constante",$AB63="Porcentaje"),AVERAGEIF($GL63:GN63,"&lt;&gt;0")/AVERAGEIF($DO63:DQ63,"&lt;&gt;0")*100,SUM($GL63:GN63)/SUM($DO63:DQ63)*$DU63))),GT63))</f>
        <v>105.26315789473684</v>
      </c>
      <c r="GV63" s="149">
        <f>+IF(OR($A63=52,$A63=124),1,IFERROR(IF($X63="Creciente",IF($AB63="Número",SUM($GL63:GO63)/SUM($DO63:DR63)*($AX63-$AW63),SUM($GL63:GO63)/SUM($DO63:DR63))*($AX63-$AW63),IF($DG63="Creciente",GO63*GO63/GO63,IF(AND($DG63="Constante",$AB63="Porcentaje"),AVERAGEIF($GL63:GO63,"&lt;&gt;0")/AVERAGEIF($DO63:DR63,"&lt;&gt;0")*100,SUM($GL63:GO63)/SUM($DO63:DR63)*$DU63))),GU63))</f>
        <v>105.26315789473684</v>
      </c>
      <c r="GW63" s="149">
        <f>+IF(OR($A63=52,$A63=124),1,IFERROR(IF($X63="Creciente",IF($AB63="Número",SUM($GL63:GP63)/SUM($DO63:DS63)*($AX63-$AW63),SUM($GL63:GP63)/SUM($DO63:DS63))*($AX63-$AW63),IF($DG63="Creciente",GP63*GP63/GP63,IF(AND($DG63="Constante",$AB63="Porcentaje"),AVERAGEIF($GL63:GP63,"&lt;&gt;0")/AVERAGEIF($DO63:DS63,"&lt;&gt;0")*100,SUM($GL63:GP63)/SUM($DO63:DS63)*$DU63))),GV63))</f>
        <v>105.26315789473684</v>
      </c>
      <c r="GX63" s="149">
        <f>+IF(OR($A63=52,$A63=124),1,IFERROR(IF($X63="Creciente",IF($AB63="Número",SUM($GL63:GQ63)/SUM($DO63:DT63)*($AX63-$AW63),SUM($GL63:GQ63)/SUM($DO63:DT63))*($AX63-$AW63),IF($DG63="Creciente",GQ63*GQ63/GQ63,IF(AND($DG63="Constante",$AB63="Porcentaje"),AVERAGEIF($GL63:GQ63,"&lt;&gt;0")/AVERAGEIF($DO63:DT63,"&lt;&gt;0")*100,SUM($GL63:GQ63)/SUM($DO63:DT63)*$DU63))),GW63))</f>
        <v>105.26315789473684</v>
      </c>
      <c r="GY63" s="149" t="str">
        <f t="shared" si="147"/>
        <v>Medir el nivel de satisfacción del usuario frente a la entrega oportuna de los elementos de consumo.  Con este indicador se pretende: medir los tiempos de entrega, calidad del servicio por parte de los servidores del proceso de Recursos Físicos</v>
      </c>
      <c r="GZ63" s="149" t="str">
        <f t="shared" si="148"/>
        <v xml:space="preserve">• Entregar elementos de consumo satisfactoriamente </v>
      </c>
      <c r="HA63" s="149" t="str">
        <f t="shared" si="149"/>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
      <c r="HB63" s="149" t="str">
        <f t="shared" si="150"/>
        <v>* Encuestas de satisfacción aplicadas.
* Tabulación de encuestas de satisfacción</v>
      </c>
      <c r="HC63" s="149" t="str">
        <f t="shared" si="127"/>
        <v>Cumple</v>
      </c>
      <c r="HD63" s="149" t="str">
        <f t="shared" si="127"/>
        <v>Anticipado</v>
      </c>
      <c r="HE63" s="149" t="str">
        <f t="shared" si="127"/>
        <v>Adecuado</v>
      </c>
      <c r="HF63" s="149" t="str">
        <f t="shared" si="127"/>
        <v>Coherente</v>
      </c>
      <c r="HG63" s="149" t="str">
        <f t="shared" si="127"/>
        <v>Concuerda</v>
      </c>
      <c r="HH63" s="149" t="str">
        <f t="shared" si="127"/>
        <v>No aplica</v>
      </c>
      <c r="HI63" s="149" t="str">
        <f t="shared" si="127"/>
        <v>No aplica</v>
      </c>
      <c r="HJ63" s="149" t="str">
        <f t="shared" si="127"/>
        <v>Adecuado</v>
      </c>
      <c r="HK63" s="149" t="str">
        <f t="shared" si="127"/>
        <v>Oportuna</v>
      </c>
      <c r="HL63" s="149" t="str">
        <f t="shared" si="127"/>
        <v>Ninguna</v>
      </c>
      <c r="HM63" s="149" t="str">
        <f t="shared" si="128"/>
        <v>Fernando Escobar Mendoza</v>
      </c>
      <c r="HN63" s="149" t="str">
        <f t="shared" si="128"/>
        <v>No aplica</v>
      </c>
      <c r="HO63" s="149" t="str">
        <f t="shared" si="128"/>
        <v>Cumplido</v>
      </c>
      <c r="HP63" s="149" t="str">
        <f t="shared" si="128"/>
        <v>Adecuado</v>
      </c>
      <c r="HQ63" s="149" t="str">
        <f t="shared" si="128"/>
        <v>Coherente</v>
      </c>
      <c r="HR63" s="149" t="str">
        <f t="shared" si="128"/>
        <v>Concuerda</v>
      </c>
      <c r="HS63" s="149" t="str">
        <f t="shared" si="128"/>
        <v>No aplica</v>
      </c>
      <c r="HT63" s="149" t="str">
        <f t="shared" si="128"/>
        <v>No aplica</v>
      </c>
      <c r="HU63" s="149" t="str">
        <f t="shared" si="128"/>
        <v>Adecuado</v>
      </c>
      <c r="HV63" s="149" t="str">
        <f t="shared" si="128"/>
        <v>Oportuna</v>
      </c>
      <c r="HW63" s="149" t="str">
        <f t="shared" si="128"/>
        <v>Se debería reconsiderar la meta para el indicador dado que se superó en el periordo de análisis y los anteriores.</v>
      </c>
      <c r="HX63" s="149" t="str">
        <f t="shared" si="128"/>
        <v>Fernando Escobar Mendoza</v>
      </c>
    </row>
    <row r="64" spans="1:232" x14ac:dyDescent="0.3">
      <c r="A64" s="225">
        <v>130</v>
      </c>
      <c r="B64" s="146" t="s">
        <v>1144</v>
      </c>
      <c r="C64" s="146" t="s">
        <v>1144</v>
      </c>
      <c r="D64" s="146" t="s">
        <v>1144</v>
      </c>
      <c r="E64" s="146" t="s">
        <v>1144</v>
      </c>
      <c r="F64" s="136" t="s">
        <v>1726</v>
      </c>
      <c r="G64" s="146" t="s">
        <v>1144</v>
      </c>
      <c r="H64" s="146" t="s">
        <v>1144</v>
      </c>
      <c r="I64" s="149" t="s">
        <v>1146</v>
      </c>
      <c r="J64" s="154" t="s">
        <v>117</v>
      </c>
      <c r="K64" s="154" t="s">
        <v>118</v>
      </c>
      <c r="L64" s="154" t="s">
        <v>1696</v>
      </c>
      <c r="M64" s="154" t="s">
        <v>1201</v>
      </c>
      <c r="N64" s="154" t="s">
        <v>1202</v>
      </c>
      <c r="O64" s="154" t="s">
        <v>1203</v>
      </c>
      <c r="P64" s="148" t="s">
        <v>1726</v>
      </c>
      <c r="Q64" s="154" t="s">
        <v>1727</v>
      </c>
      <c r="R64" s="154" t="s">
        <v>1728</v>
      </c>
      <c r="S64" s="154" t="s">
        <v>1729</v>
      </c>
      <c r="T64" s="154" t="s">
        <v>1730</v>
      </c>
      <c r="U64" s="154" t="s">
        <v>1731</v>
      </c>
      <c r="V64" s="154" t="s">
        <v>1732</v>
      </c>
      <c r="W64" s="148" t="s">
        <v>601</v>
      </c>
      <c r="X64" s="154" t="s">
        <v>601</v>
      </c>
      <c r="Y64" s="154" t="s">
        <v>1733</v>
      </c>
      <c r="Z64" s="154" t="s">
        <v>1734</v>
      </c>
      <c r="AA64" s="154" t="s">
        <v>1735</v>
      </c>
      <c r="AB64" s="154" t="s">
        <v>602</v>
      </c>
      <c r="AC64" s="154" t="s">
        <v>1475</v>
      </c>
      <c r="AD64" s="154" t="s">
        <v>1031</v>
      </c>
      <c r="AE64" s="154">
        <v>2016</v>
      </c>
      <c r="AF64" s="154">
        <v>0.98</v>
      </c>
      <c r="AG64" s="154">
        <v>2016</v>
      </c>
      <c r="AH64" s="154">
        <v>0.98</v>
      </c>
      <c r="AI64" s="154">
        <v>0.95</v>
      </c>
      <c r="AJ64" s="154">
        <v>0.95</v>
      </c>
      <c r="AK64" s="154">
        <v>0.95</v>
      </c>
      <c r="AL64" s="228">
        <v>0.95</v>
      </c>
      <c r="AM64" s="154">
        <v>0</v>
      </c>
      <c r="AN64" s="146" t="s">
        <v>1144</v>
      </c>
      <c r="AO64" s="146" t="s">
        <v>1144</v>
      </c>
      <c r="AP64" s="146" t="s">
        <v>1144</v>
      </c>
      <c r="AQ64" s="146" t="s">
        <v>1144</v>
      </c>
      <c r="AR64" s="146" t="s">
        <v>1144</v>
      </c>
      <c r="AS64" s="150" t="s">
        <v>1144</v>
      </c>
      <c r="AT64" s="232">
        <v>98</v>
      </c>
      <c r="AU64" s="232">
        <v>95</v>
      </c>
      <c r="AV64" s="232">
        <v>95</v>
      </c>
      <c r="AW64" s="232">
        <v>95</v>
      </c>
      <c r="AX64" s="211">
        <v>95</v>
      </c>
      <c r="AY64" s="232">
        <v>0</v>
      </c>
      <c r="BD64" s="149">
        <v>0</v>
      </c>
      <c r="BE64" s="149"/>
      <c r="BF64" s="149"/>
      <c r="BG64" s="149"/>
      <c r="BH64" s="149"/>
      <c r="BI64" s="149"/>
      <c r="BJ64" s="149">
        <v>0</v>
      </c>
      <c r="BK64" s="146" t="s">
        <v>1144</v>
      </c>
      <c r="BL64" s="146" t="s">
        <v>1144</v>
      </c>
      <c r="BM64" s="146" t="s">
        <v>1144</v>
      </c>
      <c r="BN64" s="146" t="s">
        <v>1144</v>
      </c>
      <c r="BO64" s="146" t="s">
        <v>1144</v>
      </c>
      <c r="BP64" s="146" t="s">
        <v>1144</v>
      </c>
      <c r="BQ64" s="146" t="s">
        <v>1144</v>
      </c>
      <c r="BR64" s="146" t="s">
        <v>1144</v>
      </c>
      <c r="BS64" s="146" t="s">
        <v>1144</v>
      </c>
      <c r="BT64" s="146" t="s">
        <v>1144</v>
      </c>
      <c r="BU64" s="146" t="s">
        <v>1144</v>
      </c>
      <c r="BV64" s="146" t="s">
        <v>1144</v>
      </c>
      <c r="BW64" s="154" t="s">
        <v>1144</v>
      </c>
      <c r="BX64" s="154" t="s">
        <v>1144</v>
      </c>
      <c r="BY64" s="154" t="s">
        <v>1144</v>
      </c>
      <c r="BZ64" s="154">
        <v>1</v>
      </c>
      <c r="CA64" s="154" t="s">
        <v>1144</v>
      </c>
      <c r="CB64" s="154" t="s">
        <v>1144</v>
      </c>
      <c r="CC64" s="154" t="s">
        <v>1144</v>
      </c>
      <c r="CD64" s="219">
        <v>1</v>
      </c>
      <c r="CE64" s="219" t="s">
        <v>304</v>
      </c>
      <c r="CF64" s="154" t="s">
        <v>1144</v>
      </c>
      <c r="CG64" s="154" t="s">
        <v>1144</v>
      </c>
      <c r="CH64" s="154" t="s">
        <v>1144</v>
      </c>
      <c r="CI64" s="154" t="s">
        <v>1144</v>
      </c>
      <c r="CJ64" s="154" t="s">
        <v>1144</v>
      </c>
      <c r="CK64" s="154" t="s">
        <v>1144</v>
      </c>
      <c r="CL64" s="154" t="s">
        <v>1144</v>
      </c>
      <c r="CM64" s="154" t="s">
        <v>1144</v>
      </c>
      <c r="CN64" s="154" t="s">
        <v>1144</v>
      </c>
      <c r="CO64" s="154" t="s">
        <v>1144</v>
      </c>
      <c r="CP64" s="154">
        <v>1</v>
      </c>
      <c r="CQ64" s="154" t="s">
        <v>1144</v>
      </c>
      <c r="CR64" s="154" t="s">
        <v>1144</v>
      </c>
      <c r="CS64" s="154" t="s">
        <v>1144</v>
      </c>
      <c r="CT64" s="154" t="s">
        <v>1144</v>
      </c>
      <c r="CU64" s="154" t="s">
        <v>1144</v>
      </c>
      <c r="CV64" s="154" t="s">
        <v>1144</v>
      </c>
      <c r="CW64" s="154" t="s">
        <v>1144</v>
      </c>
      <c r="CX64" s="154" t="s">
        <v>1144</v>
      </c>
      <c r="CY64" s="154" t="s">
        <v>1144</v>
      </c>
      <c r="CZ64" s="154" t="s">
        <v>1144</v>
      </c>
      <c r="DA64" s="154" t="s">
        <v>1144</v>
      </c>
      <c r="DB64" s="152" t="str">
        <f t="shared" si="32"/>
        <v xml:space="preserve">Plan de Acción, SGC, PROCESO: Gestión de Servicios Administrativos, PLAN ESTRATÉGICO DE TALENTO HUMANO, </v>
      </c>
      <c r="DC64" s="149" t="str">
        <f t="shared" si="151"/>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
      <c r="DD64" s="149" t="str">
        <f t="shared" si="151"/>
        <v xml:space="preserve">• Realizar actividades necesarias para la prestación de los servicios administrativos y generales a satisfacción </v>
      </c>
      <c r="DE64" s="149" t="str">
        <f t="shared" si="151"/>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
      <c r="DF64" s="149" t="str">
        <f t="shared" si="151"/>
        <v>* Informe con las Estadisticas del Sistema de Servicios Administrativos</v>
      </c>
      <c r="DG64" s="149" t="str">
        <f t="shared" si="151"/>
        <v>Constante</v>
      </c>
      <c r="DH64" s="149" t="str">
        <f t="shared" si="129"/>
        <v/>
      </c>
      <c r="DI64" s="149">
        <f t="shared" si="130"/>
        <v>95</v>
      </c>
      <c r="DJ64" s="149">
        <f t="shared" si="131"/>
        <v>95</v>
      </c>
      <c r="DK64" s="149">
        <f t="shared" si="132"/>
        <v>95</v>
      </c>
      <c r="DL64" s="149">
        <f t="shared" si="133"/>
        <v>95</v>
      </c>
      <c r="DM64" s="149">
        <f t="shared" si="134"/>
        <v>95</v>
      </c>
      <c r="DN64" s="149">
        <f t="shared" si="135"/>
        <v>95</v>
      </c>
      <c r="DO64" s="149">
        <f t="shared" si="100"/>
        <v>95</v>
      </c>
      <c r="DP64" s="149">
        <f t="shared" si="100"/>
        <v>95</v>
      </c>
      <c r="DQ64" s="149">
        <f t="shared" si="100"/>
        <v>95</v>
      </c>
      <c r="DR64" s="149">
        <f t="shared" si="100"/>
        <v>95</v>
      </c>
      <c r="DS64" s="149">
        <f t="shared" si="100"/>
        <v>95</v>
      </c>
      <c r="DT64" s="149">
        <f t="shared" si="100"/>
        <v>95</v>
      </c>
      <c r="DU64" s="149">
        <f t="shared" si="152"/>
        <v>95</v>
      </c>
      <c r="DV64" s="149">
        <f t="shared" si="152"/>
        <v>107</v>
      </c>
      <c r="DW64" s="149">
        <f t="shared" si="152"/>
        <v>107</v>
      </c>
      <c r="DX64" s="149" t="str">
        <f t="shared" si="152"/>
        <v>Se contó con el 100% de las evaluaciones calificadas, no se presentaron reclamaciones a los servicios prestados</v>
      </c>
      <c r="DY64" s="149" t="str">
        <f t="shared" si="152"/>
        <v>N.A</v>
      </c>
      <c r="DZ64" s="149" t="str">
        <f t="shared" si="152"/>
        <v>Información adecuada para análisis estadístico</v>
      </c>
      <c r="EA64" s="149">
        <f t="shared" si="152"/>
        <v>132</v>
      </c>
      <c r="EB64" s="149">
        <f t="shared" si="152"/>
        <v>132</v>
      </c>
      <c r="EC64" s="149" t="str">
        <f t="shared" si="152"/>
        <v>Se contó con el 100% de las evaluaciones calificadas, no se presentaron reclamaciones a los servicios prestados</v>
      </c>
      <c r="ED64" s="149" t="str">
        <f t="shared" si="152"/>
        <v>N.A</v>
      </c>
      <c r="EE64" s="149" t="str">
        <f t="shared" si="152"/>
        <v>Información adecuada para análisis estadístico</v>
      </c>
      <c r="EF64" s="149">
        <f t="shared" si="152"/>
        <v>51</v>
      </c>
      <c r="EG64" s="149">
        <f t="shared" si="152"/>
        <v>51</v>
      </c>
      <c r="EH64" s="149" t="str">
        <f t="shared" si="152"/>
        <v>N/A</v>
      </c>
      <c r="EI64" s="149" t="str">
        <f t="shared" si="152"/>
        <v xml:space="preserve">Para el mes de marzo se conto con información parcial hasta el 20 de marzo Teniendo en cuenta el aislamiento por el COVID-19, las solicitudes de servicios administrativos se han solicitado por teléfono y correo electrónico. Lo que no ha permitido hacer evaluaciones de los servicios 
</v>
      </c>
      <c r="EJ64" s="149" t="str">
        <f t="shared" si="152"/>
        <v>N/A</v>
      </c>
      <c r="EK64" s="149">
        <f t="shared" si="153"/>
        <v>146</v>
      </c>
      <c r="EL64" s="149">
        <f t="shared" si="153"/>
        <v>146</v>
      </c>
      <c r="EM64" s="149" t="str">
        <f t="shared" si="153"/>
        <v>N/A</v>
      </c>
      <c r="EN64" s="149" t="str">
        <f t="shared" si="153"/>
        <v xml:space="preserve">Teniendo en cuenta el aislamiento por el COVID-19, las solicitudes de servicios administrativos se han solicitado por teléfono y correo electrónico. Lo que no ha permitido hacer evaluaciones de los servicios 
</v>
      </c>
      <c r="EO64" s="149" t="str">
        <f t="shared" si="153"/>
        <v>N/A</v>
      </c>
      <c r="EP64" s="149">
        <f t="shared" si="153"/>
        <v>162</v>
      </c>
      <c r="EQ64" s="149">
        <f t="shared" si="153"/>
        <v>162</v>
      </c>
      <c r="ER64" s="149" t="str">
        <f t="shared" si="153"/>
        <v>N/A</v>
      </c>
      <c r="ES64" s="149" t="str">
        <f t="shared" si="153"/>
        <v xml:space="preserve">Teniendo en cuenta el aislamiento por el COVID-19, las solicitudes de servicios administrativos se han solicitado por teléfono y correo electrónico. Lo que no ha permitido hacer evaluaciones de los servicios 
</v>
      </c>
      <c r="ET64" s="149" t="str">
        <f t="shared" si="153"/>
        <v>N/A</v>
      </c>
      <c r="EU64" s="149">
        <f t="shared" si="125"/>
        <v>184</v>
      </c>
      <c r="EV64" s="149">
        <f t="shared" si="125"/>
        <v>184</v>
      </c>
      <c r="EW64" s="149" t="str">
        <f t="shared" si="125"/>
        <v>Se contó con el 100% de las evaluaciones calificadas, no se presentaron reclamaciones a los servicios prestados</v>
      </c>
      <c r="EX64" s="149" t="str">
        <f t="shared" si="125"/>
        <v xml:space="preserve">Se tien 11 solicitudes registradas en el sistema de servcios administrativos y 173 soliciudes por correo electronico , de los servcios prestados no se presentarón reclamaciones. </v>
      </c>
      <c r="EY64" s="149" t="str">
        <f t="shared" si="125"/>
        <v>Teniendo en cuenta el aislamiento por el COVID-19, la mayoria de solicitudes de servicios administrativos se han solicitado por teléfono y correo electrónico. Lo que no ha permitido hacer el total de  evaluaciones de los servicios</v>
      </c>
      <c r="EZ64" s="149">
        <f t="shared" si="153"/>
        <v>782</v>
      </c>
      <c r="FA64" s="149">
        <f t="shared" si="153"/>
        <v>782</v>
      </c>
      <c r="FB64" s="149">
        <f t="shared" si="153"/>
        <v>0</v>
      </c>
      <c r="FC64" s="149">
        <f t="shared" si="153"/>
        <v>0</v>
      </c>
      <c r="FD64" s="149">
        <f t="shared" si="153"/>
        <v>0</v>
      </c>
      <c r="FE64" s="149">
        <f t="shared" si="153"/>
        <v>0</v>
      </c>
      <c r="FF64" s="149">
        <f t="shared" si="154"/>
        <v>0</v>
      </c>
      <c r="FG64" s="149">
        <f t="shared" si="154"/>
        <v>0</v>
      </c>
      <c r="FH64" s="149">
        <f t="shared" si="154"/>
        <v>0</v>
      </c>
      <c r="FI64" s="149">
        <f t="shared" si="154"/>
        <v>0</v>
      </c>
      <c r="FJ64" s="149">
        <f t="shared" si="154"/>
        <v>0</v>
      </c>
      <c r="FK64" s="149">
        <f t="shared" si="154"/>
        <v>0</v>
      </c>
      <c r="FL64" s="149">
        <f t="shared" si="154"/>
        <v>0</v>
      </c>
      <c r="FM64" s="149">
        <f t="shared" si="154"/>
        <v>0</v>
      </c>
      <c r="FN64" s="149">
        <f t="shared" si="154"/>
        <v>0</v>
      </c>
      <c r="FO64" s="149">
        <f t="shared" si="154"/>
        <v>0</v>
      </c>
      <c r="FP64" s="149">
        <f t="shared" si="154"/>
        <v>0</v>
      </c>
      <c r="FQ64" s="149">
        <f t="shared" si="154"/>
        <v>0</v>
      </c>
      <c r="FR64" s="149">
        <f t="shared" si="154"/>
        <v>0</v>
      </c>
      <c r="FS64" s="149">
        <f t="shared" si="154"/>
        <v>0</v>
      </c>
      <c r="FT64" s="149">
        <f t="shared" si="154"/>
        <v>0</v>
      </c>
      <c r="FU64" s="149">
        <f t="shared" si="154"/>
        <v>0</v>
      </c>
      <c r="FV64" s="149">
        <f t="shared" si="155"/>
        <v>0</v>
      </c>
      <c r="FW64" s="149">
        <f t="shared" si="155"/>
        <v>0</v>
      </c>
      <c r="FX64" s="149">
        <f t="shared" si="155"/>
        <v>0</v>
      </c>
      <c r="FY64" s="149">
        <f t="shared" si="155"/>
        <v>0</v>
      </c>
      <c r="FZ64" s="149">
        <f t="shared" si="155"/>
        <v>0</v>
      </c>
      <c r="GA64" s="149">
        <f t="shared" si="155"/>
        <v>0</v>
      </c>
      <c r="GB64" s="149">
        <f t="shared" si="155"/>
        <v>0</v>
      </c>
      <c r="GC64" s="149">
        <f t="shared" si="155"/>
        <v>0</v>
      </c>
      <c r="GD64" s="149">
        <f t="shared" si="155"/>
        <v>0</v>
      </c>
      <c r="GE64" s="149">
        <f t="shared" si="155"/>
        <v>0</v>
      </c>
      <c r="GF64" s="149">
        <f t="shared" si="136"/>
        <v>1</v>
      </c>
      <c r="GG64" s="149">
        <f t="shared" si="137"/>
        <v>1</v>
      </c>
      <c r="GH64" s="149">
        <f t="shared" si="138"/>
        <v>1</v>
      </c>
      <c r="GI64" s="149">
        <f t="shared" si="139"/>
        <v>1</v>
      </c>
      <c r="GJ64" s="149">
        <f t="shared" si="140"/>
        <v>1</v>
      </c>
      <c r="GK64" s="149">
        <f t="shared" si="141"/>
        <v>1</v>
      </c>
      <c r="GL64" s="149">
        <f t="shared" si="142"/>
        <v>100</v>
      </c>
      <c r="GM64" s="149">
        <f t="shared" si="143"/>
        <v>100</v>
      </c>
      <c r="GN64" s="149">
        <f t="shared" si="144"/>
        <v>100</v>
      </c>
      <c r="GO64" s="149">
        <f t="shared" si="145"/>
        <v>100</v>
      </c>
      <c r="GP64" s="149">
        <f t="shared" si="146"/>
        <v>100</v>
      </c>
      <c r="GQ64" s="149">
        <f t="shared" si="146"/>
        <v>100</v>
      </c>
      <c r="GR64" s="153">
        <f t="shared" si="124"/>
        <v>100</v>
      </c>
      <c r="GS64" s="149">
        <f t="shared" si="156"/>
        <v>105.26315789473684</v>
      </c>
      <c r="GT64" s="149">
        <f>+IF(OR($A64=52,$A64=124),1,IFERROR(IF($X64="Creciente",IF($AB64="Número",SUM($GL64:GM64)/SUM($DO64:DP64)*($AX64-$AW64),SUM($GL64:GM64)/SUM($DO64:DP64))*($AX64-$AW64),IF($DG64="Creciente",GM64*GM64/GM64,IF(AND($DG64="Constante",$AB64="Porcentaje"),AVERAGEIF($GL64:GM64,"&lt;&gt;0")/AVERAGEIF($DO64:DP64,"&lt;&gt;0")*100,SUM($GL64:GM64)/SUM($DO64:DP64)*$DU64))),GS64))</f>
        <v>105.26315789473684</v>
      </c>
      <c r="GU64" s="149">
        <f>+IF(OR($A64=52,$A64=124),1,IFERROR(IF($X64="Creciente",IF($AB64="Número",SUM($GL64:GN64)/SUM($DO64:DQ64)*($AX64-$AW64),SUM($GL64:GN64)/SUM($DO64:DQ64))*($AX64-$AW64),IF($DG64="Creciente",GN64*GN64/GN64,IF(AND($DG64="Constante",$AB64="Porcentaje"),AVERAGEIF($GL64:GN64,"&lt;&gt;0")/AVERAGEIF($DO64:DQ64,"&lt;&gt;0")*100,SUM($GL64:GN64)/SUM($DO64:DQ64)*$DU64))),GT64))</f>
        <v>105.26315789473684</v>
      </c>
      <c r="GV64" s="149">
        <f>+IF(OR($A64=52,$A64=124),1,IFERROR(IF($X64="Creciente",IF($AB64="Número",SUM($GL64:GO64)/SUM($DO64:DR64)*($AX64-$AW64),SUM($GL64:GO64)/SUM($DO64:DR64))*($AX64-$AW64),IF($DG64="Creciente",GO64*GO64/GO64,IF(AND($DG64="Constante",$AB64="Porcentaje"),AVERAGEIF($GL64:GO64,"&lt;&gt;0")/AVERAGEIF($DO64:DR64,"&lt;&gt;0")*100,SUM($GL64:GO64)/SUM($DO64:DR64)*$DU64))),GU64))</f>
        <v>105.26315789473684</v>
      </c>
      <c r="GW64" s="149">
        <f>+IF(OR($A64=52,$A64=124),1,IFERROR(IF($X64="Creciente",IF($AB64="Número",SUM($GL64:GP64)/SUM($DO64:DS64)*($AX64-$AW64),SUM($GL64:GP64)/SUM($DO64:DS64))*($AX64-$AW64),IF($DG64="Creciente",GP64*GP64/GP64,IF(AND($DG64="Constante",$AB64="Porcentaje"),AVERAGEIF($GL64:GP64,"&lt;&gt;0")/AVERAGEIF($DO64:DS64,"&lt;&gt;0")*100,SUM($GL64:GP64)/SUM($DO64:DS64)*$DU64))),GV64))</f>
        <v>105.26315789473684</v>
      </c>
      <c r="GX64" s="149">
        <f>+IF(OR($A64=52,$A64=124),1,IFERROR(IF($X64="Creciente",IF($AB64="Número",SUM($GL64:GQ64)/SUM($DO64:DT64)*($AX64-$AW64),SUM($GL64:GQ64)/SUM($DO64:DT64))*($AX64-$AW64),IF($DG64="Creciente",GQ64*GQ64/GQ64,IF(AND($DG64="Constante",$AB64="Porcentaje"),AVERAGEIF($GL64:GQ64,"&lt;&gt;0")/AVERAGEIF($DO64:DT64,"&lt;&gt;0")*100,SUM($GL64:GQ64)/SUM($DO64:DT64)*$DU64))),GW64))</f>
        <v>105.26315789473684</v>
      </c>
      <c r="GY64" s="149" t="str">
        <f t="shared" si="147"/>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
      <c r="GZ64" s="149" t="str">
        <f t="shared" si="148"/>
        <v xml:space="preserve">• Realizar actividades necesarias para la prestación de los servicios administrativos y generales a satisfacción </v>
      </c>
      <c r="HA64" s="149" t="str">
        <f t="shared" si="149"/>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
      <c r="HB64" s="149" t="str">
        <f t="shared" si="150"/>
        <v>* Informe con las Estadisticas del Sistema de Servicios Administrativos</v>
      </c>
      <c r="HC64" s="149" t="str">
        <f t="shared" si="127"/>
        <v>Cumple</v>
      </c>
      <c r="HD64" s="149" t="str">
        <f t="shared" si="127"/>
        <v>Deficiente</v>
      </c>
      <c r="HE64" s="149" t="str">
        <f t="shared" si="127"/>
        <v>No adecuado</v>
      </c>
      <c r="HF64" s="149" t="str">
        <f t="shared" si="127"/>
        <v>Incoherente</v>
      </c>
      <c r="HG64" s="149" t="str">
        <f t="shared" si="127"/>
        <v>Difiere</v>
      </c>
      <c r="HH64" s="149" t="str">
        <f t="shared" si="127"/>
        <v>Concuerda</v>
      </c>
      <c r="HI64" s="149" t="str">
        <f t="shared" si="127"/>
        <v>No aplica</v>
      </c>
      <c r="HJ64" s="149" t="str">
        <f t="shared" si="127"/>
        <v>No adecuado</v>
      </c>
      <c r="HK64" s="149" t="str">
        <f t="shared" si="127"/>
        <v>Oportuna</v>
      </c>
      <c r="HL64" s="149" t="str">
        <f t="shared" si="127"/>
        <v>Se debe diligenciar la información del indicador teniendo en cuenta el número de solicitudes recibidas en medios alternos al aplicativo.</v>
      </c>
      <c r="HM64" s="149" t="str">
        <f t="shared" si="128"/>
        <v>Sandra Patricia Ortiz Barrera</v>
      </c>
      <c r="HN64" s="149" t="str">
        <f t="shared" si="128"/>
        <v>Cumple</v>
      </c>
      <c r="HO64" s="149" t="str">
        <f t="shared" si="128"/>
        <v>Cumplido</v>
      </c>
      <c r="HP64" s="149" t="str">
        <f t="shared" si="128"/>
        <v>Adecuado</v>
      </c>
      <c r="HQ64" s="149" t="str">
        <f t="shared" si="128"/>
        <v>Coherente</v>
      </c>
      <c r="HR64" s="149" t="str">
        <f t="shared" si="128"/>
        <v>Concuerda</v>
      </c>
      <c r="HS64" s="149" t="str">
        <f t="shared" si="128"/>
        <v>Concuerda</v>
      </c>
      <c r="HT64" s="149" t="str">
        <f t="shared" si="128"/>
        <v>No aplica</v>
      </c>
      <c r="HU64" s="149" t="str">
        <f t="shared" si="128"/>
        <v>Adecuado</v>
      </c>
      <c r="HV64" s="149" t="str">
        <f t="shared" si="128"/>
        <v>Oportuna</v>
      </c>
      <c r="HW64" s="149" t="str">
        <f t="shared" si="128"/>
        <v>El reporte del indicador es adecuado en términos de coherencia y consistencia. El indicador presenta un cumplimiento del 105%</v>
      </c>
      <c r="HX64" s="149">
        <f t="shared" si="128"/>
        <v>0</v>
      </c>
    </row>
    <row r="65" spans="1:232" x14ac:dyDescent="0.3">
      <c r="A65" s="225" t="s">
        <v>387</v>
      </c>
      <c r="B65" s="146" t="s">
        <v>1144</v>
      </c>
      <c r="C65" s="146" t="s">
        <v>1144</v>
      </c>
      <c r="D65" s="146" t="s">
        <v>1144</v>
      </c>
      <c r="E65" s="146" t="s">
        <v>1144</v>
      </c>
      <c r="F65" s="136" t="s">
        <v>1736</v>
      </c>
      <c r="G65" s="146" t="s">
        <v>1144</v>
      </c>
      <c r="H65" s="146" t="s">
        <v>1144</v>
      </c>
      <c r="I65" s="149" t="s">
        <v>1146</v>
      </c>
      <c r="J65" s="154" t="s">
        <v>191</v>
      </c>
      <c r="K65" s="154" t="s">
        <v>192</v>
      </c>
      <c r="L65" s="154" t="s">
        <v>193</v>
      </c>
      <c r="M65" s="154" t="s">
        <v>1201</v>
      </c>
      <c r="N65" s="154" t="s">
        <v>1202</v>
      </c>
      <c r="O65" s="154" t="s">
        <v>1737</v>
      </c>
      <c r="P65" s="148" t="s">
        <v>1736</v>
      </c>
      <c r="Q65" s="154" t="s">
        <v>1738</v>
      </c>
      <c r="R65" s="154" t="s">
        <v>1739</v>
      </c>
      <c r="S65" s="154" t="s">
        <v>1740</v>
      </c>
      <c r="T65" s="154" t="s">
        <v>1741</v>
      </c>
      <c r="U65" s="154">
        <v>0</v>
      </c>
      <c r="V65" s="154" t="s">
        <v>1742</v>
      </c>
      <c r="W65" s="148" t="s">
        <v>638</v>
      </c>
      <c r="X65" s="154" t="s">
        <v>638</v>
      </c>
      <c r="Y65" s="154" t="s">
        <v>1743</v>
      </c>
      <c r="Z65" s="154" t="s">
        <v>1744</v>
      </c>
      <c r="AA65" s="154" t="s">
        <v>1745</v>
      </c>
      <c r="AB65" s="154" t="s">
        <v>639</v>
      </c>
      <c r="AC65" s="154" t="s">
        <v>1271</v>
      </c>
      <c r="AD65" s="219" t="s">
        <v>1160</v>
      </c>
      <c r="AE65" s="219">
        <v>2016</v>
      </c>
      <c r="AF65" s="219">
        <v>0</v>
      </c>
      <c r="AG65" s="219">
        <v>2016</v>
      </c>
      <c r="AH65" s="219">
        <v>0</v>
      </c>
      <c r="AI65" s="219">
        <v>3</v>
      </c>
      <c r="AJ65" s="219">
        <v>3</v>
      </c>
      <c r="AK65" s="219">
        <v>3</v>
      </c>
      <c r="AL65" s="220">
        <v>1</v>
      </c>
      <c r="AM65" s="219">
        <v>0</v>
      </c>
      <c r="AN65" s="146" t="s">
        <v>1144</v>
      </c>
      <c r="AO65" s="146" t="s">
        <v>1144</v>
      </c>
      <c r="AP65" s="146" t="s">
        <v>1144</v>
      </c>
      <c r="AQ65" s="146" t="s">
        <v>1144</v>
      </c>
      <c r="AR65" s="146" t="s">
        <v>1144</v>
      </c>
      <c r="AS65" s="150" t="s">
        <v>1144</v>
      </c>
      <c r="AT65" s="156">
        <v>0</v>
      </c>
      <c r="AU65" s="156">
        <v>3</v>
      </c>
      <c r="AV65" s="156">
        <v>3</v>
      </c>
      <c r="AW65" s="156">
        <v>3</v>
      </c>
      <c r="AX65" s="215">
        <v>1</v>
      </c>
      <c r="AY65" s="156">
        <v>0</v>
      </c>
      <c r="AZ65" s="149"/>
      <c r="BA65" s="149"/>
      <c r="BD65" s="149">
        <v>0</v>
      </c>
      <c r="BE65" s="149"/>
      <c r="BF65" s="149"/>
      <c r="BG65" s="149"/>
      <c r="BH65" s="149"/>
      <c r="BI65" s="149"/>
      <c r="BJ65" s="149">
        <v>0</v>
      </c>
      <c r="BK65" s="146" t="s">
        <v>1144</v>
      </c>
      <c r="BL65" s="146" t="s">
        <v>1144</v>
      </c>
      <c r="BM65" s="146" t="s">
        <v>1144</v>
      </c>
      <c r="BN65" s="146" t="s">
        <v>1144</v>
      </c>
      <c r="BO65" s="146" t="s">
        <v>1144</v>
      </c>
      <c r="BP65" s="146" t="s">
        <v>1144</v>
      </c>
      <c r="BQ65" s="146" t="s">
        <v>1144</v>
      </c>
      <c r="BR65" s="146" t="s">
        <v>1144</v>
      </c>
      <c r="BS65" s="146" t="s">
        <v>1144</v>
      </c>
      <c r="BT65" s="146" t="s">
        <v>1144</v>
      </c>
      <c r="BU65" s="146" t="s">
        <v>1144</v>
      </c>
      <c r="BV65" s="146" t="s">
        <v>1144</v>
      </c>
      <c r="BW65" s="219" t="s">
        <v>1144</v>
      </c>
      <c r="BX65" s="219" t="s">
        <v>1144</v>
      </c>
      <c r="BY65" s="219">
        <v>1</v>
      </c>
      <c r="BZ65" s="219">
        <v>1</v>
      </c>
      <c r="CA65" s="219" t="s">
        <v>1144</v>
      </c>
      <c r="CB65" s="219" t="s">
        <v>1144</v>
      </c>
      <c r="CC65" s="219" t="s">
        <v>1144</v>
      </c>
      <c r="CD65" s="219" t="s">
        <v>1144</v>
      </c>
      <c r="CE65" s="219" t="s">
        <v>1144</v>
      </c>
      <c r="CF65" s="219" t="s">
        <v>1144</v>
      </c>
      <c r="CG65" s="219" t="s">
        <v>1144</v>
      </c>
      <c r="CH65" s="219" t="s">
        <v>1144</v>
      </c>
      <c r="CI65" s="219" t="s">
        <v>1144</v>
      </c>
      <c r="CJ65" s="219" t="s">
        <v>1144</v>
      </c>
      <c r="CK65" s="219" t="s">
        <v>1144</v>
      </c>
      <c r="CL65" s="219" t="s">
        <v>1144</v>
      </c>
      <c r="CM65" s="219" t="s">
        <v>1144</v>
      </c>
      <c r="CN65" s="219" t="s">
        <v>1144</v>
      </c>
      <c r="CO65" s="219" t="s">
        <v>1144</v>
      </c>
      <c r="CP65" s="219" t="s">
        <v>1144</v>
      </c>
      <c r="CQ65" s="219" t="s">
        <v>1144</v>
      </c>
      <c r="CR65" s="219" t="s">
        <v>1144</v>
      </c>
      <c r="CS65" s="219" t="s">
        <v>1144</v>
      </c>
      <c r="CT65" s="219" t="s">
        <v>1144</v>
      </c>
      <c r="CU65" s="219" t="s">
        <v>1144</v>
      </c>
      <c r="CV65" s="219" t="s">
        <v>1144</v>
      </c>
      <c r="CW65" s="219" t="s">
        <v>1144</v>
      </c>
      <c r="CX65" s="219" t="s">
        <v>1144</v>
      </c>
      <c r="CY65" s="219" t="s">
        <v>1144</v>
      </c>
      <c r="CZ65" s="219" t="s">
        <v>1144</v>
      </c>
      <c r="DA65" s="219" t="s">
        <v>1144</v>
      </c>
      <c r="DB65" s="152" t="str">
        <f t="shared" si="32"/>
        <v xml:space="preserve">Plan Estratégico Institucional, Plan de Acción, </v>
      </c>
      <c r="DC65" s="149" t="str">
        <f t="shared" si="151"/>
        <v>Jornadas de socialización relacionadas a la programación y/o ejecución de recursos.</v>
      </c>
      <c r="DD65" s="149" t="str">
        <f t="shared" si="151"/>
        <v>• Estructurar jornadas de socialización frente a la programación y ejecución de recursos. 
Preparar el material para las jornadas de socialización.
Desarrollar las jornadas de socialización.</v>
      </c>
      <c r="DE65" s="149" t="str">
        <f t="shared" si="151"/>
        <v xml:space="preserve">* Alcanzar niveles óptimos de ejecución en los recursos asignados a las dependencias
* Transferencia del conocimiento 
* Contribuir a las gestión de las dependencias ejecutoras y la Subdirección Financiera
* Prevención de riesgos. </v>
      </c>
      <c r="DF65" s="149" t="str">
        <f t="shared" si="151"/>
        <v>*Convocatorias
* Material dispuesto para las capacitaciones
* Listas de asistencias a las jornadas realizadas.</v>
      </c>
      <c r="DG65" s="149" t="str">
        <f t="shared" si="151"/>
        <v>Suma</v>
      </c>
      <c r="DH65" s="149">
        <f t="shared" si="129"/>
        <v>1</v>
      </c>
      <c r="DI65" s="149">
        <f t="shared" si="130"/>
        <v>0</v>
      </c>
      <c r="DJ65" s="149">
        <f t="shared" si="131"/>
        <v>0</v>
      </c>
      <c r="DK65" s="149">
        <f t="shared" si="132"/>
        <v>0</v>
      </c>
      <c r="DL65" s="149">
        <f t="shared" si="133"/>
        <v>0</v>
      </c>
      <c r="DM65" s="149">
        <f t="shared" si="134"/>
        <v>0</v>
      </c>
      <c r="DN65" s="149">
        <f t="shared" si="135"/>
        <v>0</v>
      </c>
      <c r="DO65" s="149">
        <f t="shared" si="100"/>
        <v>0</v>
      </c>
      <c r="DP65" s="149">
        <f t="shared" si="100"/>
        <v>0</v>
      </c>
      <c r="DQ65" s="149">
        <f t="shared" si="100"/>
        <v>0</v>
      </c>
      <c r="DR65" s="149">
        <f t="shared" si="100"/>
        <v>0</v>
      </c>
      <c r="DS65" s="149">
        <f t="shared" si="100"/>
        <v>0</v>
      </c>
      <c r="DT65" s="149">
        <f t="shared" si="100"/>
        <v>0</v>
      </c>
      <c r="DU65" s="149">
        <f t="shared" si="152"/>
        <v>1</v>
      </c>
      <c r="DV65" s="149" t="str">
        <f t="shared" si="152"/>
        <v/>
      </c>
      <c r="DW65" s="149" t="str">
        <f t="shared" si="152"/>
        <v/>
      </c>
      <c r="DX65" s="149" t="str">
        <f t="shared" si="152"/>
        <v/>
      </c>
      <c r="DY65" s="149" t="str">
        <f t="shared" si="152"/>
        <v/>
      </c>
      <c r="DZ65" s="149" t="str">
        <f t="shared" si="152"/>
        <v/>
      </c>
      <c r="EA65" s="149" t="str">
        <f t="shared" si="152"/>
        <v/>
      </c>
      <c r="EB65" s="149" t="str">
        <f t="shared" si="152"/>
        <v/>
      </c>
      <c r="EC65" s="149" t="str">
        <f t="shared" si="152"/>
        <v/>
      </c>
      <c r="ED65" s="149" t="str">
        <f t="shared" si="152"/>
        <v/>
      </c>
      <c r="EE65" s="149" t="str">
        <f t="shared" si="152"/>
        <v/>
      </c>
      <c r="EF65" s="149" t="str">
        <f t="shared" si="152"/>
        <v/>
      </c>
      <c r="EG65" s="149" t="str">
        <f t="shared" si="152"/>
        <v/>
      </c>
      <c r="EH65" s="149" t="str">
        <f t="shared" si="152"/>
        <v/>
      </c>
      <c r="EI65" s="149" t="str">
        <f t="shared" si="152"/>
        <v/>
      </c>
      <c r="EJ65" s="149" t="str">
        <f t="shared" si="152"/>
        <v/>
      </c>
      <c r="EK65" s="149" t="str">
        <f t="shared" si="153"/>
        <v/>
      </c>
      <c r="EL65" s="149" t="str">
        <f t="shared" si="153"/>
        <v/>
      </c>
      <c r="EM65" s="149" t="str">
        <f t="shared" si="153"/>
        <v/>
      </c>
      <c r="EN65" s="149" t="str">
        <f t="shared" si="153"/>
        <v/>
      </c>
      <c r="EO65" s="149" t="str">
        <f t="shared" si="153"/>
        <v/>
      </c>
      <c r="EP65" s="149" t="str">
        <f t="shared" si="153"/>
        <v/>
      </c>
      <c r="EQ65" s="149" t="str">
        <f t="shared" si="153"/>
        <v/>
      </c>
      <c r="ER65" s="149" t="str">
        <f t="shared" si="153"/>
        <v/>
      </c>
      <c r="ES65" s="149" t="str">
        <f t="shared" si="153"/>
        <v/>
      </c>
      <c r="ET65" s="149" t="str">
        <f t="shared" si="153"/>
        <v/>
      </c>
      <c r="EU65" s="149" t="str">
        <f t="shared" si="125"/>
        <v/>
      </c>
      <c r="EV65" s="149" t="str">
        <f t="shared" si="125"/>
        <v/>
      </c>
      <c r="EW65" s="149" t="str">
        <f t="shared" si="125"/>
        <v/>
      </c>
      <c r="EX65" s="149" t="str">
        <f t="shared" si="125"/>
        <v/>
      </c>
      <c r="EY65" s="149" t="str">
        <f t="shared" si="125"/>
        <v/>
      </c>
      <c r="EZ65" s="149">
        <f t="shared" si="153"/>
        <v>0</v>
      </c>
      <c r="FA65" s="149">
        <f t="shared" si="153"/>
        <v>0</v>
      </c>
      <c r="FB65" s="149">
        <f t="shared" si="153"/>
        <v>0</v>
      </c>
      <c r="FC65" s="149">
        <f t="shared" si="153"/>
        <v>0</v>
      </c>
      <c r="FD65" s="149">
        <f t="shared" si="153"/>
        <v>0</v>
      </c>
      <c r="FE65" s="149">
        <f t="shared" si="153"/>
        <v>0</v>
      </c>
      <c r="FF65" s="149">
        <f t="shared" si="154"/>
        <v>0</v>
      </c>
      <c r="FG65" s="149">
        <f t="shared" si="154"/>
        <v>0</v>
      </c>
      <c r="FH65" s="149">
        <f t="shared" si="154"/>
        <v>0</v>
      </c>
      <c r="FI65" s="149">
        <f t="shared" si="154"/>
        <v>0</v>
      </c>
      <c r="FJ65" s="149">
        <f t="shared" si="154"/>
        <v>0</v>
      </c>
      <c r="FK65" s="149">
        <f t="shared" si="154"/>
        <v>0</v>
      </c>
      <c r="FL65" s="149">
        <f t="shared" si="154"/>
        <v>0</v>
      </c>
      <c r="FM65" s="149">
        <f t="shared" si="154"/>
        <v>0</v>
      </c>
      <c r="FN65" s="149">
        <f t="shared" si="154"/>
        <v>0</v>
      </c>
      <c r="FO65" s="149">
        <f t="shared" si="154"/>
        <v>0</v>
      </c>
      <c r="FP65" s="149">
        <f t="shared" si="154"/>
        <v>0</v>
      </c>
      <c r="FQ65" s="149">
        <f t="shared" si="154"/>
        <v>0</v>
      </c>
      <c r="FR65" s="149">
        <f t="shared" si="154"/>
        <v>0</v>
      </c>
      <c r="FS65" s="149">
        <f t="shared" si="154"/>
        <v>0</v>
      </c>
      <c r="FT65" s="149">
        <f t="shared" si="154"/>
        <v>0</v>
      </c>
      <c r="FU65" s="149">
        <f t="shared" si="154"/>
        <v>0</v>
      </c>
      <c r="FV65" s="149">
        <f t="shared" si="155"/>
        <v>0</v>
      </c>
      <c r="FW65" s="149">
        <f t="shared" si="155"/>
        <v>0</v>
      </c>
      <c r="FX65" s="149">
        <f t="shared" si="155"/>
        <v>0</v>
      </c>
      <c r="FY65" s="149">
        <f t="shared" si="155"/>
        <v>0</v>
      </c>
      <c r="FZ65" s="149">
        <f t="shared" si="155"/>
        <v>0</v>
      </c>
      <c r="GA65" s="149">
        <f t="shared" si="155"/>
        <v>0</v>
      </c>
      <c r="GB65" s="149">
        <f t="shared" si="155"/>
        <v>0</v>
      </c>
      <c r="GC65" s="149">
        <f t="shared" si="155"/>
        <v>0</v>
      </c>
      <c r="GD65" s="149">
        <f t="shared" si="155"/>
        <v>0</v>
      </c>
      <c r="GE65" s="149">
        <f t="shared" si="155"/>
        <v>0</v>
      </c>
      <c r="GF65" s="149" t="str">
        <f t="shared" si="136"/>
        <v/>
      </c>
      <c r="GG65" s="149" t="str">
        <f t="shared" si="137"/>
        <v/>
      </c>
      <c r="GH65" s="149" t="str">
        <f t="shared" si="138"/>
        <v/>
      </c>
      <c r="GI65" s="149" t="str">
        <f t="shared" si="139"/>
        <v/>
      </c>
      <c r="GJ65" s="149" t="str">
        <f t="shared" si="140"/>
        <v/>
      </c>
      <c r="GK65" s="149">
        <f t="shared" si="141"/>
        <v>0</v>
      </c>
      <c r="GL65" s="149">
        <f t="shared" si="142"/>
        <v>0</v>
      </c>
      <c r="GM65" s="149">
        <f t="shared" si="143"/>
        <v>0</v>
      </c>
      <c r="GN65" s="149">
        <f t="shared" si="144"/>
        <v>0</v>
      </c>
      <c r="GO65" s="149">
        <f t="shared" si="145"/>
        <v>0</v>
      </c>
      <c r="GP65" s="149">
        <f t="shared" si="146"/>
        <v>0</v>
      </c>
      <c r="GQ65" s="149">
        <f t="shared" si="146"/>
        <v>0</v>
      </c>
      <c r="GR65" s="153">
        <f t="shared" si="124"/>
        <v>0</v>
      </c>
      <c r="GS65" s="149" t="str">
        <f t="shared" si="156"/>
        <v>No Programó</v>
      </c>
      <c r="GT65" s="149" t="str">
        <f>+IF(OR($A65=52,$A65=124),1,IFERROR(IF($X65="Creciente",IF($AB65="Número",SUM($GL65:GM65)/SUM($DO65:DP65)*($AX65-$AW65),SUM($GL65:GM65)/SUM($DO65:DP65))*($AX65-$AW65),IF($DG65="Creciente",GM65*GM65/GM65,IF(AND($DG65="Constante",$AB65="Porcentaje"),AVERAGEIF($GL65:GM65,"&lt;&gt;0")/AVERAGEIF($DO65:DP65,"&lt;&gt;0")*100,SUM($GL65:GM65)/SUM($DO65:DP65)*$DU65))),GS65))</f>
        <v>No Programó</v>
      </c>
      <c r="GU65" s="149" t="str">
        <f>+IF(OR($A65=52,$A65=124),1,IFERROR(IF($X65="Creciente",IF($AB65="Número",SUM($GL65:GN65)/SUM($DO65:DQ65)*($AX65-$AW65),SUM($GL65:GN65)/SUM($DO65:DQ65))*($AX65-$AW65),IF($DG65="Creciente",GN65*GN65/GN65,IF(AND($DG65="Constante",$AB65="Porcentaje"),AVERAGEIF($GL65:GN65,"&lt;&gt;0")/AVERAGEIF($DO65:DQ65,"&lt;&gt;0")*100,SUM($GL65:GN65)/SUM($DO65:DQ65)*$DU65))),GT65))</f>
        <v>No Programó</v>
      </c>
      <c r="GV65" s="149" t="str">
        <f>+IF(OR($A65=52,$A65=124),1,IFERROR(IF($X65="Creciente",IF($AB65="Número",SUM($GL65:GO65)/SUM($DO65:DR65)*($AX65-$AW65),SUM($GL65:GO65)/SUM($DO65:DR65))*($AX65-$AW65),IF($DG65="Creciente",GO65*GO65/GO65,IF(AND($DG65="Constante",$AB65="Porcentaje"),AVERAGEIF($GL65:GO65,"&lt;&gt;0")/AVERAGEIF($DO65:DR65,"&lt;&gt;0")*100,SUM($GL65:GO65)/SUM($DO65:DR65)*$DU65))),GU65))</f>
        <v>No Programó</v>
      </c>
      <c r="GW65" s="149" t="str">
        <f>+IF(OR($A65=52,$A65=124),1,IFERROR(IF($X65="Creciente",IF($AB65="Número",SUM($GL65:GP65)/SUM($DO65:DS65)*($AX65-$AW65),SUM($GL65:GP65)/SUM($DO65:DS65))*($AX65-$AW65),IF($DG65="Creciente",GP65*GP65/GP65,IF(AND($DG65="Constante",$AB65="Porcentaje"),AVERAGEIF($GL65:GP65,"&lt;&gt;0")/AVERAGEIF($DO65:DS65,"&lt;&gt;0")*100,SUM($GL65:GP65)/SUM($DO65:DS65)*$DU65))),GV65))</f>
        <v>No Programó</v>
      </c>
      <c r="GX65" s="149" t="str">
        <f>+IF(OR($A65=52,$A65=124),1,IFERROR(IF($X65="Creciente",IF($AB65="Número",SUM($GL65:GQ65)/SUM($DO65:DT65)*($AX65-$AW65),SUM($GL65:GQ65)/SUM($DO65:DT65))*($AX65-$AW65),IF($DG65="Creciente",GQ65*GQ65/GQ65,IF(AND($DG65="Constante",$AB65="Porcentaje"),AVERAGEIF($GL65:GQ65,"&lt;&gt;0")/AVERAGEIF($DO65:DT65,"&lt;&gt;0")*100,SUM($GL65:GQ65)/SUM($DO65:DT65)*$DU65))),GW65))</f>
        <v>No Programó</v>
      </c>
      <c r="GY65" s="149" t="str">
        <f t="shared" si="147"/>
        <v>Jornadas de socialización relacionadas a la programación y/o ejecución de recursos.</v>
      </c>
      <c r="GZ65" s="149" t="str">
        <f t="shared" si="148"/>
        <v>• Estructurar jornadas de socialización frente a la programación y ejecución de recursos. 
Preparar el material para las jornadas de socialización.
Desarrollar las jornadas de socialización.</v>
      </c>
      <c r="HA65" s="149" t="str">
        <f t="shared" si="149"/>
        <v xml:space="preserve">* Alcanzar niveles óptimos de ejecución en los recursos asignados a las dependencias
* Transferencia del conocimiento 
* Contribuir a las gestión de las dependencias ejecutoras y la Subdirección Financiera
* Prevención de riesgos. </v>
      </c>
      <c r="HB65" s="149" t="str">
        <f t="shared" si="150"/>
        <v>*Convocatorias
* Material dispuesto para las capacitaciones
* Listas de asistencias a las jornadas realizadas.</v>
      </c>
      <c r="HC65" s="149">
        <f t="shared" si="127"/>
        <v>0</v>
      </c>
      <c r="HD65" s="149">
        <f t="shared" si="127"/>
        <v>0</v>
      </c>
      <c r="HE65" s="149">
        <f t="shared" si="127"/>
        <v>0</v>
      </c>
      <c r="HF65" s="149">
        <f t="shared" si="127"/>
        <v>0</v>
      </c>
      <c r="HG65" s="149">
        <f t="shared" si="127"/>
        <v>0</v>
      </c>
      <c r="HH65" s="149">
        <f t="shared" si="127"/>
        <v>0</v>
      </c>
      <c r="HI65" s="149">
        <f t="shared" si="127"/>
        <v>0</v>
      </c>
      <c r="HJ65" s="149">
        <f t="shared" si="127"/>
        <v>0</v>
      </c>
      <c r="HK65" s="149">
        <f t="shared" si="127"/>
        <v>0</v>
      </c>
      <c r="HL65" s="149">
        <f t="shared" si="127"/>
        <v>0</v>
      </c>
      <c r="HM65" s="149">
        <f t="shared" si="128"/>
        <v>0</v>
      </c>
      <c r="HN65" s="149">
        <f t="shared" si="128"/>
        <v>0</v>
      </c>
      <c r="HO65" s="149">
        <f t="shared" si="128"/>
        <v>0</v>
      </c>
      <c r="HP65" s="149">
        <f t="shared" si="128"/>
        <v>0</v>
      </c>
      <c r="HQ65" s="149">
        <f t="shared" si="128"/>
        <v>0</v>
      </c>
      <c r="HR65" s="149">
        <f t="shared" si="128"/>
        <v>0</v>
      </c>
      <c r="HS65" s="149">
        <f t="shared" si="128"/>
        <v>0</v>
      </c>
      <c r="HT65" s="149">
        <f t="shared" si="128"/>
        <v>0</v>
      </c>
      <c r="HU65" s="149">
        <f t="shared" si="128"/>
        <v>0</v>
      </c>
      <c r="HV65" s="149">
        <f t="shared" si="128"/>
        <v>0</v>
      </c>
      <c r="HW65" s="149">
        <f t="shared" si="128"/>
        <v>0</v>
      </c>
      <c r="HX65" s="149">
        <f t="shared" si="128"/>
        <v>0</v>
      </c>
    </row>
    <row r="66" spans="1:232" x14ac:dyDescent="0.3">
      <c r="A66" s="225">
        <v>122</v>
      </c>
      <c r="B66" s="146" t="s">
        <v>1144</v>
      </c>
      <c r="C66" s="146" t="s">
        <v>1144</v>
      </c>
      <c r="D66" s="146" t="s">
        <v>1144</v>
      </c>
      <c r="E66" s="146" t="s">
        <v>1144</v>
      </c>
      <c r="F66" s="136" t="s">
        <v>1746</v>
      </c>
      <c r="G66" s="146" t="s">
        <v>1144</v>
      </c>
      <c r="H66" s="146" t="s">
        <v>1144</v>
      </c>
      <c r="I66" s="149" t="s">
        <v>1146</v>
      </c>
      <c r="J66" s="154" t="s">
        <v>191</v>
      </c>
      <c r="K66" s="154" t="s">
        <v>192</v>
      </c>
      <c r="L66" s="154" t="s">
        <v>193</v>
      </c>
      <c r="M66" s="154" t="s">
        <v>1201</v>
      </c>
      <c r="N66" s="154" t="s">
        <v>1202</v>
      </c>
      <c r="O66" s="154" t="s">
        <v>1644</v>
      </c>
      <c r="P66" s="148" t="s">
        <v>1746</v>
      </c>
      <c r="Q66" s="154" t="s">
        <v>1747</v>
      </c>
      <c r="R66" s="154" t="s">
        <v>1748</v>
      </c>
      <c r="S66" s="154" t="s">
        <v>1749</v>
      </c>
      <c r="T66" s="154" t="s">
        <v>1750</v>
      </c>
      <c r="U66" s="154">
        <v>0</v>
      </c>
      <c r="V66" s="154" t="s">
        <v>1751</v>
      </c>
      <c r="W66" s="148" t="s">
        <v>638</v>
      </c>
      <c r="X66" s="154" t="s">
        <v>638</v>
      </c>
      <c r="Y66" s="154" t="s">
        <v>1752</v>
      </c>
      <c r="Z66" s="154" t="s">
        <v>1753</v>
      </c>
      <c r="AA66" s="154" t="s">
        <v>1754</v>
      </c>
      <c r="AB66" s="154" t="s">
        <v>639</v>
      </c>
      <c r="AC66" s="154" t="s">
        <v>1271</v>
      </c>
      <c r="AD66" s="154" t="s">
        <v>1160</v>
      </c>
      <c r="AE66" s="154">
        <v>2016</v>
      </c>
      <c r="AF66" s="154">
        <v>0</v>
      </c>
      <c r="AG66" s="154">
        <v>2016</v>
      </c>
      <c r="AH66" s="154">
        <v>0</v>
      </c>
      <c r="AI66" s="154">
        <v>3</v>
      </c>
      <c r="AJ66" s="154">
        <v>3</v>
      </c>
      <c r="AK66" s="154">
        <v>4</v>
      </c>
      <c r="AL66" s="157">
        <v>2</v>
      </c>
      <c r="AM66" s="154">
        <v>0</v>
      </c>
      <c r="AN66" s="146" t="s">
        <v>1144</v>
      </c>
      <c r="AO66" s="146" t="s">
        <v>1144</v>
      </c>
      <c r="AP66" s="146" t="s">
        <v>1144</v>
      </c>
      <c r="AQ66" s="146" t="s">
        <v>1144</v>
      </c>
      <c r="AR66" s="146" t="s">
        <v>1144</v>
      </c>
      <c r="AS66" s="150" t="s">
        <v>1144</v>
      </c>
      <c r="AT66" s="156">
        <v>0</v>
      </c>
      <c r="AU66" s="156">
        <v>3</v>
      </c>
      <c r="AV66" s="156">
        <v>3</v>
      </c>
      <c r="AW66" s="156">
        <v>4</v>
      </c>
      <c r="AX66" s="158">
        <v>2</v>
      </c>
      <c r="AY66" s="156">
        <v>0</v>
      </c>
      <c r="BD66" s="149">
        <v>0</v>
      </c>
      <c r="BE66" s="149"/>
      <c r="BF66" s="149"/>
      <c r="BG66" s="149"/>
      <c r="BH66" s="149"/>
      <c r="BI66" s="149"/>
      <c r="BJ66" s="149">
        <v>0</v>
      </c>
      <c r="BK66" s="146" t="s">
        <v>1144</v>
      </c>
      <c r="BL66" s="146" t="s">
        <v>1144</v>
      </c>
      <c r="BM66" s="146" t="s">
        <v>1144</v>
      </c>
      <c r="BN66" s="146" t="s">
        <v>1144</v>
      </c>
      <c r="BO66" s="146" t="s">
        <v>1144</v>
      </c>
      <c r="BP66" s="146" t="s">
        <v>1144</v>
      </c>
      <c r="BQ66" s="146" t="s">
        <v>1144</v>
      </c>
      <c r="BR66" s="146" t="s">
        <v>1144</v>
      </c>
      <c r="BS66" s="146" t="s">
        <v>1144</v>
      </c>
      <c r="BT66" s="146" t="s">
        <v>1144</v>
      </c>
      <c r="BU66" s="146" t="s">
        <v>1144</v>
      </c>
      <c r="BV66" s="146" t="s">
        <v>1144</v>
      </c>
      <c r="BW66" s="154" t="s">
        <v>1144</v>
      </c>
      <c r="BX66" s="154" t="s">
        <v>1144</v>
      </c>
      <c r="BY66" s="154">
        <v>1</v>
      </c>
      <c r="BZ66" s="154">
        <v>1</v>
      </c>
      <c r="CA66" s="154" t="s">
        <v>1144</v>
      </c>
      <c r="CB66" s="154" t="s">
        <v>1144</v>
      </c>
      <c r="CC66" s="154" t="s">
        <v>1144</v>
      </c>
      <c r="CD66" s="219">
        <v>1</v>
      </c>
      <c r="CE66" s="219" t="s">
        <v>319</v>
      </c>
      <c r="CF66" s="154" t="s">
        <v>1144</v>
      </c>
      <c r="CG66" s="154" t="s">
        <v>1144</v>
      </c>
      <c r="CH66" s="154" t="s">
        <v>1144</v>
      </c>
      <c r="CI66" s="154" t="s">
        <v>1144</v>
      </c>
      <c r="CJ66" s="154" t="s">
        <v>1144</v>
      </c>
      <c r="CK66" s="154" t="s">
        <v>1144</v>
      </c>
      <c r="CL66" s="154" t="s">
        <v>1144</v>
      </c>
      <c r="CM66" s="154" t="s">
        <v>1144</v>
      </c>
      <c r="CN66" s="154" t="s">
        <v>1144</v>
      </c>
      <c r="CO66" s="154" t="s">
        <v>1144</v>
      </c>
      <c r="CP66" s="154" t="s">
        <v>1144</v>
      </c>
      <c r="CQ66" s="154" t="s">
        <v>1144</v>
      </c>
      <c r="CR66" s="154" t="s">
        <v>1144</v>
      </c>
      <c r="CS66" s="154" t="s">
        <v>1144</v>
      </c>
      <c r="CT66" s="154" t="s">
        <v>1144</v>
      </c>
      <c r="CU66" s="154" t="s">
        <v>1144</v>
      </c>
      <c r="CV66" s="154" t="s">
        <v>1144</v>
      </c>
      <c r="CW66" s="154" t="s">
        <v>1144</v>
      </c>
      <c r="CX66" s="154" t="s">
        <v>1144</v>
      </c>
      <c r="CY66" s="154" t="s">
        <v>1144</v>
      </c>
      <c r="CZ66" s="154" t="s">
        <v>1144</v>
      </c>
      <c r="DA66" s="154" t="s">
        <v>1144</v>
      </c>
      <c r="DB66" s="152" t="str">
        <f t="shared" si="32"/>
        <v xml:space="preserve">Plan Estratégico Institucional, Plan de Acción, SGC, PROCESO: Gestión Financiera, </v>
      </c>
      <c r="DC66" s="149" t="str">
        <f t="shared" si="151"/>
        <v>Lineamientos divulgados frente a programación y ejecución de recursos para la vigencia.</v>
      </c>
      <c r="DD66" s="149" t="str">
        <f t="shared" si="151"/>
        <v>• Circulares de lineamientos frente a la programación y ejecución de recursos financieros</v>
      </c>
      <c r="DE66" s="149" t="str">
        <f t="shared" si="151"/>
        <v>* Divulgar y sensibilizar las directrices relacionadas con los temas financieros de interés para las dependencias.
* Contribuir a las gestión de las dependencias ejecutoras y la Subdirección Financiera
* Prevención de riesgos.</v>
      </c>
      <c r="DF66" s="149" t="str">
        <f t="shared" si="151"/>
        <v>* Circulares emitidas, comunicaciones internas y documentos socializados con las dependencias.</v>
      </c>
      <c r="DG66" s="149" t="str">
        <f t="shared" si="151"/>
        <v>Suma</v>
      </c>
      <c r="DH66" s="149">
        <f t="shared" si="129"/>
        <v>2</v>
      </c>
      <c r="DI66" s="149">
        <f t="shared" si="130"/>
        <v>1</v>
      </c>
      <c r="DJ66" s="149">
        <f t="shared" si="131"/>
        <v>0</v>
      </c>
      <c r="DK66" s="149">
        <f t="shared" si="132"/>
        <v>0</v>
      </c>
      <c r="DL66" s="149">
        <f t="shared" si="133"/>
        <v>1</v>
      </c>
      <c r="DM66" s="149">
        <f t="shared" si="134"/>
        <v>0</v>
      </c>
      <c r="DN66" s="149">
        <f t="shared" si="135"/>
        <v>0</v>
      </c>
      <c r="DO66" s="149">
        <f t="shared" si="100"/>
        <v>1</v>
      </c>
      <c r="DP66" s="149">
        <f t="shared" si="100"/>
        <v>0</v>
      </c>
      <c r="DQ66" s="149">
        <f t="shared" si="100"/>
        <v>0</v>
      </c>
      <c r="DR66" s="149">
        <f t="shared" si="100"/>
        <v>1</v>
      </c>
      <c r="DS66" s="149">
        <f t="shared" si="100"/>
        <v>0</v>
      </c>
      <c r="DT66" s="149">
        <f t="shared" si="100"/>
        <v>0</v>
      </c>
      <c r="DU66" s="149">
        <f t="shared" si="152"/>
        <v>2</v>
      </c>
      <c r="DV66" s="149">
        <f t="shared" si="152"/>
        <v>1</v>
      </c>
      <c r="DW66" s="149">
        <f t="shared" si="152"/>
        <v>0</v>
      </c>
      <c r="DX66" s="149" t="str">
        <f t="shared" si="152"/>
        <v>Se expidió la Circular Nro. 3 de 2020, con los Lineamientos Financieros para la vigencia 2020. Se establece los lineamientos para la administración de los recursos de la vigencia.</v>
      </c>
      <c r="DY66" s="149" t="str">
        <f t="shared" si="152"/>
        <v>N.A.</v>
      </c>
      <c r="DZ66" s="149" t="str">
        <f t="shared" si="152"/>
        <v>*Presentación oportuna por parte de las áreas para el tramite de cuentas.
*Establecer fechas para la presentación de información financiera como insumos a los estados financieros.
*Se establece el cronograma para reprogramación del PAC de la vigencia y reserva</v>
      </c>
      <c r="EA66" s="149">
        <f t="shared" si="152"/>
        <v>0</v>
      </c>
      <c r="EB66" s="149">
        <f t="shared" si="152"/>
        <v>0</v>
      </c>
      <c r="EC66" s="149" t="str">
        <f t="shared" si="152"/>
        <v>N.A.</v>
      </c>
      <c r="ED66" s="149" t="str">
        <f t="shared" si="152"/>
        <v>N.A.</v>
      </c>
      <c r="EE66" s="149" t="str">
        <f t="shared" si="152"/>
        <v>N.A.</v>
      </c>
      <c r="EF66" s="149">
        <f t="shared" si="152"/>
        <v>0</v>
      </c>
      <c r="EG66" s="149">
        <f t="shared" si="152"/>
        <v>0</v>
      </c>
      <c r="EH66" s="149" t="str">
        <f t="shared" si="152"/>
        <v>N.A.</v>
      </c>
      <c r="EI66" s="149" t="str">
        <f t="shared" si="152"/>
        <v>N.A.</v>
      </c>
      <c r="EJ66" s="149" t="str">
        <f t="shared" si="152"/>
        <v>N.A.</v>
      </c>
      <c r="EK66" s="149">
        <f t="shared" si="153"/>
        <v>1</v>
      </c>
      <c r="EL66" s="149">
        <f t="shared" si="153"/>
        <v>0</v>
      </c>
      <c r="EM66" s="149" t="str">
        <f t="shared" si="153"/>
        <v>Se crea la Guía Operativa para el manejo de cuentas por cobrar por concepto de incapacidades</v>
      </c>
      <c r="EN66" s="149" t="str">
        <f t="shared" si="153"/>
        <v>N.A.</v>
      </c>
      <c r="EO66" s="149" t="str">
        <f t="shared" si="153"/>
        <v>Permite resguardar los intereses económicos de la entidad frente a una posible perdida de esos derechos.</v>
      </c>
      <c r="EP66" s="149">
        <f t="shared" si="153"/>
        <v>0</v>
      </c>
      <c r="EQ66" s="149">
        <f t="shared" si="153"/>
        <v>0</v>
      </c>
      <c r="ER66" s="149" t="str">
        <f t="shared" si="153"/>
        <v>N.A.</v>
      </c>
      <c r="ES66" s="149" t="str">
        <f t="shared" si="153"/>
        <v>N.A.</v>
      </c>
      <c r="ET66" s="149" t="str">
        <f t="shared" si="153"/>
        <v>N.A.</v>
      </c>
      <c r="EU66" s="149">
        <f t="shared" si="125"/>
        <v>0</v>
      </c>
      <c r="EV66" s="149">
        <f t="shared" si="125"/>
        <v>0</v>
      </c>
      <c r="EW66" s="149" t="str">
        <f t="shared" si="125"/>
        <v>N.A.</v>
      </c>
      <c r="EX66" s="149" t="str">
        <f t="shared" si="125"/>
        <v>N.A.</v>
      </c>
      <c r="EY66" s="149" t="str">
        <f t="shared" si="125"/>
        <v>N.A.</v>
      </c>
      <c r="EZ66" s="149">
        <f t="shared" si="153"/>
        <v>2</v>
      </c>
      <c r="FA66" s="149">
        <f t="shared" si="153"/>
        <v>0</v>
      </c>
      <c r="FB66" s="149">
        <f t="shared" si="153"/>
        <v>0</v>
      </c>
      <c r="FC66" s="149">
        <f t="shared" si="153"/>
        <v>0</v>
      </c>
      <c r="FD66" s="149">
        <f t="shared" si="153"/>
        <v>0</v>
      </c>
      <c r="FE66" s="149">
        <f t="shared" si="153"/>
        <v>0</v>
      </c>
      <c r="FF66" s="149">
        <f t="shared" si="154"/>
        <v>0</v>
      </c>
      <c r="FG66" s="149">
        <f t="shared" si="154"/>
        <v>0</v>
      </c>
      <c r="FH66" s="149">
        <f t="shared" si="154"/>
        <v>0</v>
      </c>
      <c r="FI66" s="149">
        <f t="shared" si="154"/>
        <v>0</v>
      </c>
      <c r="FJ66" s="149">
        <f t="shared" si="154"/>
        <v>0</v>
      </c>
      <c r="FK66" s="149">
        <f t="shared" si="154"/>
        <v>0</v>
      </c>
      <c r="FL66" s="149">
        <f t="shared" si="154"/>
        <v>0</v>
      </c>
      <c r="FM66" s="149">
        <f t="shared" si="154"/>
        <v>0</v>
      </c>
      <c r="FN66" s="149">
        <f t="shared" si="154"/>
        <v>0</v>
      </c>
      <c r="FO66" s="149">
        <f t="shared" si="154"/>
        <v>0</v>
      </c>
      <c r="FP66" s="149">
        <f t="shared" si="154"/>
        <v>0</v>
      </c>
      <c r="FQ66" s="149">
        <f t="shared" si="154"/>
        <v>0</v>
      </c>
      <c r="FR66" s="149">
        <f t="shared" si="154"/>
        <v>0</v>
      </c>
      <c r="FS66" s="149">
        <f t="shared" si="154"/>
        <v>0</v>
      </c>
      <c r="FT66" s="149">
        <f t="shared" si="154"/>
        <v>0</v>
      </c>
      <c r="FU66" s="149">
        <f t="shared" si="154"/>
        <v>0</v>
      </c>
      <c r="FV66" s="149">
        <f t="shared" si="155"/>
        <v>0</v>
      </c>
      <c r="FW66" s="149">
        <f t="shared" si="155"/>
        <v>0</v>
      </c>
      <c r="FX66" s="149">
        <f t="shared" si="155"/>
        <v>0</v>
      </c>
      <c r="FY66" s="149">
        <f t="shared" si="155"/>
        <v>0</v>
      </c>
      <c r="FZ66" s="149">
        <f t="shared" si="155"/>
        <v>0</v>
      </c>
      <c r="GA66" s="149">
        <f t="shared" si="155"/>
        <v>0</v>
      </c>
      <c r="GB66" s="149">
        <f t="shared" si="155"/>
        <v>0</v>
      </c>
      <c r="GC66" s="149">
        <f t="shared" si="155"/>
        <v>0</v>
      </c>
      <c r="GD66" s="149">
        <f t="shared" si="155"/>
        <v>0</v>
      </c>
      <c r="GE66" s="149">
        <f t="shared" si="155"/>
        <v>0</v>
      </c>
      <c r="GF66" s="149">
        <f t="shared" si="136"/>
        <v>1</v>
      </c>
      <c r="GG66" s="149">
        <f t="shared" si="137"/>
        <v>0</v>
      </c>
      <c r="GH66" s="149">
        <f t="shared" si="138"/>
        <v>0</v>
      </c>
      <c r="GI66" s="149">
        <f t="shared" si="139"/>
        <v>1</v>
      </c>
      <c r="GJ66" s="149">
        <f t="shared" si="140"/>
        <v>0</v>
      </c>
      <c r="GK66" s="149">
        <f t="shared" si="141"/>
        <v>2</v>
      </c>
      <c r="GL66" s="149">
        <f t="shared" si="142"/>
        <v>50</v>
      </c>
      <c r="GM66" s="149">
        <f t="shared" si="143"/>
        <v>0</v>
      </c>
      <c r="GN66" s="149">
        <f t="shared" si="144"/>
        <v>0</v>
      </c>
      <c r="GO66" s="149">
        <f t="shared" si="145"/>
        <v>50</v>
      </c>
      <c r="GP66" s="149">
        <f t="shared" si="146"/>
        <v>0</v>
      </c>
      <c r="GQ66" s="149">
        <f t="shared" si="146"/>
        <v>0</v>
      </c>
      <c r="GR66" s="153">
        <f t="shared" si="124"/>
        <v>100</v>
      </c>
      <c r="GS66" s="149">
        <f t="shared" si="156"/>
        <v>100</v>
      </c>
      <c r="GT66" s="149">
        <f>+IF(OR($A66=52,$A66=124),1,IFERROR(IF($X66="Creciente",IF($AB66="Número",SUM($GL66:GM66)/SUM($DO66:DP66)*($AX66-$AW66),SUM($GL66:GM66)/SUM($DO66:DP66))*($AX66-$AW66),IF($DG66="Creciente",GM66*GM66/GM66,IF(AND($DG66="Constante",$AB66="Porcentaje"),AVERAGEIF($GL66:GM66,"&lt;&gt;0")/AVERAGEIF($DO66:DP66,"&lt;&gt;0")*100,SUM($GL66:GM66)/SUM($DO66:DP66)*$DU66))),GS66))</f>
        <v>100</v>
      </c>
      <c r="GU66" s="149">
        <f>+IF(OR($A66=52,$A66=124),1,IFERROR(IF($X66="Creciente",IF($AB66="Número",SUM($GL66:GN66)/SUM($DO66:DQ66)*($AX66-$AW66),SUM($GL66:GN66)/SUM($DO66:DQ66))*($AX66-$AW66),IF($DG66="Creciente",GN66*GN66/GN66,IF(AND($DG66="Constante",$AB66="Porcentaje"),AVERAGEIF($GL66:GN66,"&lt;&gt;0")/AVERAGEIF($DO66:DQ66,"&lt;&gt;0")*100,SUM($GL66:GN66)/SUM($DO66:DQ66)*$DU66))),GT66))</f>
        <v>100</v>
      </c>
      <c r="GV66" s="149">
        <f>+IF(OR($A66=52,$A66=124),1,IFERROR(IF($X66="Creciente",IF($AB66="Número",SUM($GL66:GO66)/SUM($DO66:DR66)*($AX66-$AW66),SUM($GL66:GO66)/SUM($DO66:DR66))*($AX66-$AW66),IF($DG66="Creciente",GO66*GO66/GO66,IF(AND($DG66="Constante",$AB66="Porcentaje"),AVERAGEIF($GL66:GO66,"&lt;&gt;0")/AVERAGEIF($DO66:DR66,"&lt;&gt;0")*100,SUM($GL66:GO66)/SUM($DO66:DR66)*$DU66))),GU66))</f>
        <v>100</v>
      </c>
      <c r="GW66" s="149">
        <f>+IF(OR($A66=52,$A66=124),1,IFERROR(IF($X66="Creciente",IF($AB66="Número",SUM($GL66:GP66)/SUM($DO66:DS66)*($AX66-$AW66),SUM($GL66:GP66)/SUM($DO66:DS66))*($AX66-$AW66),IF($DG66="Creciente",GP66*GP66/GP66,IF(AND($DG66="Constante",$AB66="Porcentaje"),AVERAGEIF($GL66:GP66,"&lt;&gt;0")/AVERAGEIF($DO66:DS66,"&lt;&gt;0")*100,SUM($GL66:GP66)/SUM($DO66:DS66)*$DU66))),GV66))</f>
        <v>100</v>
      </c>
      <c r="GX66" s="149">
        <f>+IF(OR($A66=52,$A66=124),1,IFERROR(IF($X66="Creciente",IF($AB66="Número",SUM($GL66:GQ66)/SUM($DO66:DT66)*($AX66-$AW66),SUM($GL66:GQ66)/SUM($DO66:DT66))*($AX66-$AW66),IF($DG66="Creciente",GQ66*GQ66/GQ66,IF(AND($DG66="Constante",$AB66="Porcentaje"),AVERAGEIF($GL66:GQ66,"&lt;&gt;0")/AVERAGEIF($DO66:DT66,"&lt;&gt;0")*100,SUM($GL66:GQ66)/SUM($DO66:DT66)*$DU66))),GW66))</f>
        <v>100</v>
      </c>
      <c r="GY66" s="149" t="str">
        <f t="shared" si="147"/>
        <v>Lineamientos divulgados frente a programación y ejecución de recursos para la vigencia.</v>
      </c>
      <c r="GZ66" s="149" t="str">
        <f t="shared" si="148"/>
        <v>• Circulares de lineamientos frente a la programación y ejecución de recursos financieros</v>
      </c>
      <c r="HA66" s="149" t="str">
        <f t="shared" si="149"/>
        <v>* Divulgar y sensibilizar las directrices relacionadas con los temas financieros de interés para las dependencias.
* Contribuir a las gestión de las dependencias ejecutoras y la Subdirección Financiera
* Prevención de riesgos.</v>
      </c>
      <c r="HB66" s="149" t="str">
        <f t="shared" si="150"/>
        <v>* Circulares emitidas, comunicaciones internas y documentos socializados con las dependencias.</v>
      </c>
      <c r="HC66" s="149" t="str">
        <f t="shared" si="127"/>
        <v>Cumple</v>
      </c>
      <c r="HD66" s="149" t="str">
        <f t="shared" si="127"/>
        <v>Cumplido</v>
      </c>
      <c r="HE66" s="149" t="str">
        <f t="shared" si="127"/>
        <v>Adecuado</v>
      </c>
      <c r="HF66" s="149" t="str">
        <f t="shared" si="127"/>
        <v>Coherente</v>
      </c>
      <c r="HG66" s="149" t="str">
        <f t="shared" si="127"/>
        <v>Concuerda</v>
      </c>
      <c r="HH66" s="149" t="str">
        <f t="shared" si="127"/>
        <v>Concuerda</v>
      </c>
      <c r="HI66" s="149" t="str">
        <f t="shared" si="127"/>
        <v>Relación directa</v>
      </c>
      <c r="HJ66" s="149" t="str">
        <f t="shared" si="127"/>
        <v>Adecuado</v>
      </c>
      <c r="HK66" s="149" t="str">
        <f t="shared" si="127"/>
        <v>Oportuna</v>
      </c>
      <c r="HL66" s="149" t="str">
        <f t="shared" si="127"/>
        <v>Sin observaciones.</v>
      </c>
      <c r="HM66" s="149" t="str">
        <f t="shared" si="128"/>
        <v>Cesar Arcos</v>
      </c>
      <c r="HN66" s="149" t="str">
        <f t="shared" si="128"/>
        <v>No aplica</v>
      </c>
      <c r="HO66" s="149" t="str">
        <f t="shared" si="128"/>
        <v>No programó</v>
      </c>
      <c r="HP66" s="149" t="str">
        <f t="shared" si="128"/>
        <v>No aplica</v>
      </c>
      <c r="HQ66" s="149" t="str">
        <f t="shared" si="128"/>
        <v>No aplica</v>
      </c>
      <c r="HR66" s="149" t="str">
        <f t="shared" si="128"/>
        <v>No aplica</v>
      </c>
      <c r="HS66" s="149" t="str">
        <f t="shared" si="128"/>
        <v>No aplica</v>
      </c>
      <c r="HT66" s="149" t="str">
        <f t="shared" si="128"/>
        <v>No aplica</v>
      </c>
      <c r="HU66" s="149" t="str">
        <f t="shared" si="128"/>
        <v>No aplica</v>
      </c>
      <c r="HV66" s="149" t="str">
        <f t="shared" si="128"/>
        <v>Oportuna</v>
      </c>
      <c r="HW66" s="149" t="str">
        <f t="shared" si="128"/>
        <v>Ninguna</v>
      </c>
      <c r="HX66" s="149" t="str">
        <f t="shared" si="128"/>
        <v>Cesar Arcos</v>
      </c>
    </row>
    <row r="67" spans="1:232" x14ac:dyDescent="0.3">
      <c r="A67" s="225">
        <v>124</v>
      </c>
      <c r="B67" s="146" t="s">
        <v>1144</v>
      </c>
      <c r="C67" s="146" t="s">
        <v>1144</v>
      </c>
      <c r="D67" s="146" t="s">
        <v>1144</v>
      </c>
      <c r="E67" s="146" t="s">
        <v>1144</v>
      </c>
      <c r="F67" s="136" t="s">
        <v>1755</v>
      </c>
      <c r="G67" s="146" t="s">
        <v>1144</v>
      </c>
      <c r="H67" s="146" t="s">
        <v>1144</v>
      </c>
      <c r="I67" s="149" t="s">
        <v>1146</v>
      </c>
      <c r="J67" s="154" t="s">
        <v>191</v>
      </c>
      <c r="K67" s="154" t="s">
        <v>192</v>
      </c>
      <c r="L67" s="154" t="s">
        <v>193</v>
      </c>
      <c r="M67" s="154" t="s">
        <v>1201</v>
      </c>
      <c r="N67" s="154" t="s">
        <v>1202</v>
      </c>
      <c r="O67" s="154" t="s">
        <v>1644</v>
      </c>
      <c r="P67" s="148" t="s">
        <v>1755</v>
      </c>
      <c r="Q67" s="154" t="s">
        <v>1756</v>
      </c>
      <c r="R67" s="154" t="s">
        <v>1757</v>
      </c>
      <c r="S67" s="154" t="s">
        <v>1758</v>
      </c>
      <c r="T67" s="154" t="s">
        <v>1759</v>
      </c>
      <c r="U67" s="154">
        <v>0</v>
      </c>
      <c r="V67" s="154" t="s">
        <v>1760</v>
      </c>
      <c r="W67" s="148" t="s">
        <v>1761</v>
      </c>
      <c r="X67" s="154" t="s">
        <v>1761</v>
      </c>
      <c r="Y67" s="154" t="s">
        <v>1762</v>
      </c>
      <c r="Z67" s="154" t="s">
        <v>1763</v>
      </c>
      <c r="AA67" s="154" t="s">
        <v>1764</v>
      </c>
      <c r="AB67" s="154" t="s">
        <v>639</v>
      </c>
      <c r="AC67" s="154" t="s">
        <v>1765</v>
      </c>
      <c r="AD67" s="154" t="s">
        <v>1160</v>
      </c>
      <c r="AE67" s="154">
        <v>2016</v>
      </c>
      <c r="AF67" s="154">
        <v>0</v>
      </c>
      <c r="AG67" s="154">
        <v>2016</v>
      </c>
      <c r="AH67" s="154">
        <v>0</v>
      </c>
      <c r="AI67" s="154">
        <v>8</v>
      </c>
      <c r="AJ67" s="154">
        <v>8</v>
      </c>
      <c r="AK67" s="154">
        <v>6</v>
      </c>
      <c r="AL67" s="157">
        <v>6</v>
      </c>
      <c r="AM67" s="154">
        <v>0</v>
      </c>
      <c r="AN67" s="146" t="s">
        <v>1144</v>
      </c>
      <c r="AO67" s="146" t="s">
        <v>1144</v>
      </c>
      <c r="AP67" s="146" t="s">
        <v>1144</v>
      </c>
      <c r="AQ67" s="146" t="s">
        <v>1144</v>
      </c>
      <c r="AR67" s="146" t="s">
        <v>1144</v>
      </c>
      <c r="AS67" s="150" t="s">
        <v>1144</v>
      </c>
      <c r="AT67" s="156">
        <v>0</v>
      </c>
      <c r="AU67" s="156">
        <v>8</v>
      </c>
      <c r="AV67" s="156">
        <v>8</v>
      </c>
      <c r="AW67" s="156">
        <v>6</v>
      </c>
      <c r="AX67" s="158">
        <v>6</v>
      </c>
      <c r="AY67" s="156">
        <v>0</v>
      </c>
      <c r="BD67" s="149">
        <v>0</v>
      </c>
      <c r="BE67" s="149"/>
      <c r="BF67" s="149"/>
      <c r="BG67" s="149"/>
      <c r="BH67" s="149"/>
      <c r="BI67" s="149"/>
      <c r="BJ67" s="149">
        <v>0</v>
      </c>
      <c r="BK67" s="146" t="s">
        <v>1144</v>
      </c>
      <c r="BL67" s="146" t="s">
        <v>1144</v>
      </c>
      <c r="BM67" s="146" t="s">
        <v>1144</v>
      </c>
      <c r="BN67" s="146" t="s">
        <v>1144</v>
      </c>
      <c r="BO67" s="146" t="s">
        <v>1144</v>
      </c>
      <c r="BP67" s="146" t="s">
        <v>1144</v>
      </c>
      <c r="BQ67" s="146" t="s">
        <v>1144</v>
      </c>
      <c r="BR67" s="146" t="s">
        <v>1144</v>
      </c>
      <c r="BS67" s="146" t="s">
        <v>1144</v>
      </c>
      <c r="BT67" s="146" t="s">
        <v>1144</v>
      </c>
      <c r="BU67" s="146" t="s">
        <v>1144</v>
      </c>
      <c r="BV67" s="146" t="s">
        <v>1144</v>
      </c>
      <c r="BW67" s="154" t="s">
        <v>1144</v>
      </c>
      <c r="BX67" s="154" t="s">
        <v>1144</v>
      </c>
      <c r="BY67" s="154" t="s">
        <v>1144</v>
      </c>
      <c r="BZ67" s="154">
        <v>1</v>
      </c>
      <c r="CA67" s="154" t="s">
        <v>1144</v>
      </c>
      <c r="CB67" s="154" t="s">
        <v>1144</v>
      </c>
      <c r="CC67" s="154" t="s">
        <v>1144</v>
      </c>
      <c r="CD67" s="219">
        <v>1</v>
      </c>
      <c r="CE67" s="219" t="s">
        <v>319</v>
      </c>
      <c r="CF67" s="154" t="s">
        <v>1144</v>
      </c>
      <c r="CG67" s="154" t="s">
        <v>1144</v>
      </c>
      <c r="CH67" s="154" t="s">
        <v>1144</v>
      </c>
      <c r="CI67" s="154" t="s">
        <v>1144</v>
      </c>
      <c r="CJ67" s="154" t="s">
        <v>1144</v>
      </c>
      <c r="CK67" s="154" t="s">
        <v>1144</v>
      </c>
      <c r="CL67" s="154" t="s">
        <v>1144</v>
      </c>
      <c r="CM67" s="154" t="s">
        <v>1144</v>
      </c>
      <c r="CN67" s="154" t="s">
        <v>1144</v>
      </c>
      <c r="CO67" s="154" t="s">
        <v>1144</v>
      </c>
      <c r="CP67" s="154" t="s">
        <v>1144</v>
      </c>
      <c r="CQ67" s="154" t="s">
        <v>1144</v>
      </c>
      <c r="CR67" s="154" t="s">
        <v>1144</v>
      </c>
      <c r="CS67" s="154" t="s">
        <v>1144</v>
      </c>
      <c r="CT67" s="154" t="s">
        <v>1144</v>
      </c>
      <c r="CU67" s="154" t="s">
        <v>1144</v>
      </c>
      <c r="CV67" s="154" t="s">
        <v>1144</v>
      </c>
      <c r="CW67" s="154" t="s">
        <v>1144</v>
      </c>
      <c r="CX67" s="154" t="s">
        <v>1144</v>
      </c>
      <c r="CY67" s="154" t="s">
        <v>1144</v>
      </c>
      <c r="CZ67" s="154" t="s">
        <v>1144</v>
      </c>
      <c r="DA67" s="154" t="s">
        <v>1144</v>
      </c>
      <c r="DB67" s="152" t="str">
        <f t="shared" si="32"/>
        <v xml:space="preserve">Plan de Acción, SGC, PROCESO: Gestión Financiera, </v>
      </c>
      <c r="DC67" s="149" t="str">
        <f t="shared" si="151"/>
        <v>Tiempo de desembolsos a contratistas, expresado en días.</v>
      </c>
      <c r="DD67" s="149" t="str">
        <f t="shared" si="151"/>
        <v>• Desembolsos a contratistas.</v>
      </c>
      <c r="DE67" s="149" t="str">
        <f t="shared" si="151"/>
        <v xml:space="preserve">* Satisfacción del cliente
* Garantes del cumplimiento contractual y tributario. </v>
      </c>
      <c r="DF67" s="149" t="str">
        <f t="shared" si="151"/>
        <v>*  Ordenes de pago planillas de giro
* Hoja de ruta
* Planillas de liquidación liquidadas y pagadas</v>
      </c>
      <c r="DG67" s="149" t="str">
        <f t="shared" si="151"/>
        <v>Constante</v>
      </c>
      <c r="DH67" s="149" t="str">
        <f t="shared" si="129"/>
        <v/>
      </c>
      <c r="DI67" s="149">
        <f t="shared" si="130"/>
        <v>6</v>
      </c>
      <c r="DJ67" s="149">
        <f t="shared" si="131"/>
        <v>6</v>
      </c>
      <c r="DK67" s="149">
        <f t="shared" si="132"/>
        <v>6</v>
      </c>
      <c r="DL67" s="149">
        <f t="shared" si="133"/>
        <v>6</v>
      </c>
      <c r="DM67" s="149">
        <f t="shared" si="134"/>
        <v>6</v>
      </c>
      <c r="DN67" s="149">
        <f t="shared" si="135"/>
        <v>6</v>
      </c>
      <c r="DO67" s="149">
        <f t="shared" si="100"/>
        <v>6</v>
      </c>
      <c r="DP67" s="149">
        <f t="shared" si="100"/>
        <v>6</v>
      </c>
      <c r="DQ67" s="149">
        <f t="shared" si="100"/>
        <v>6</v>
      </c>
      <c r="DR67" s="149">
        <f t="shared" si="100"/>
        <v>6</v>
      </c>
      <c r="DS67" s="149">
        <f t="shared" si="100"/>
        <v>6</v>
      </c>
      <c r="DT67" s="149">
        <f t="shared" si="100"/>
        <v>6</v>
      </c>
      <c r="DU67" s="149">
        <f t="shared" si="152"/>
        <v>6</v>
      </c>
      <c r="DV67" s="149">
        <f t="shared" si="152"/>
        <v>9.3800000000000008</v>
      </c>
      <c r="DW67" s="149">
        <f t="shared" si="152"/>
        <v>0</v>
      </c>
      <c r="DX67" s="149" t="str">
        <f t="shared" si="152"/>
        <v>Se efectuaron los pagos radicados aunque se tomo mas tiempo para su realización.</v>
      </c>
      <c r="DY67" s="149" t="str">
        <f t="shared" si="152"/>
        <v>En este mes se presentó dificultades en el cumplimiento de la meta establecida de 6 días, por motivos de parametrización del sistemas de Hacienda con los nuevos Ordenadores de Gasto, por cambio de administración.</v>
      </c>
      <c r="DZ67" s="149" t="str">
        <f t="shared" si="152"/>
        <v xml:space="preserve">*Cumplimiento de las obligaciones contractuales que tiene la entidad.
* Se generó un porcentaje del pago acumulado correspondiente en 1,51% para la vigencia y 11,56% para los recursos de reserva </v>
      </c>
      <c r="EA67" s="149">
        <f t="shared" si="152"/>
        <v>3.1</v>
      </c>
      <c r="EB67" s="149">
        <f t="shared" si="152"/>
        <v>0</v>
      </c>
      <c r="EC67" s="149" t="str">
        <f t="shared" si="152"/>
        <v>Dado que este es un indicador es decreciente, se cumplió el promedio de días estimado en el trámite de cuentas</v>
      </c>
      <c r="ED67" s="149" t="str">
        <f t="shared" si="152"/>
        <v>N.A.</v>
      </c>
      <c r="EE67" s="149" t="str">
        <f t="shared" si="152"/>
        <v xml:space="preserve">*Cumplimiento de las obligaciones contractuales que tiene la entidad.
* Se generó un porcentaje acumulado del pago correspondiente en 4,10% para la vigencia y 26,19% para los recursos de reserva </v>
      </c>
      <c r="EF67" s="149">
        <f t="shared" si="152"/>
        <v>3.41</v>
      </c>
      <c r="EG67" s="149">
        <f t="shared" si="152"/>
        <v>0</v>
      </c>
      <c r="EH67" s="149" t="str">
        <f t="shared" si="152"/>
        <v>Dado que este es un indicador es decreciente, se cumplió el promedio de días estimado en el trámite de cuentas</v>
      </c>
      <c r="EI67" s="149" t="str">
        <f t="shared" si="152"/>
        <v>N.A.</v>
      </c>
      <c r="EJ67" s="149" t="str">
        <f t="shared" si="152"/>
        <v xml:space="preserve">*Cumplimiento de las obligaciones contractuales que tiene la entidad.
* Se generó un porcentaje acumulado del pago correspondiente en 11,86% para la vigencia y 51,89% para los recursos de reserva </v>
      </c>
      <c r="EK67" s="149">
        <f t="shared" si="153"/>
        <v>3.02</v>
      </c>
      <c r="EL67" s="149">
        <f t="shared" si="153"/>
        <v>0</v>
      </c>
      <c r="EM67" s="149" t="str">
        <f t="shared" si="153"/>
        <v>Dado que este es un indicador es decreciente, se cumplió el promedio de días estimado en el trámite de cuentas</v>
      </c>
      <c r="EN67" s="149" t="str">
        <f t="shared" si="153"/>
        <v>N.A.</v>
      </c>
      <c r="EO67" s="149" t="str">
        <f t="shared" si="153"/>
        <v xml:space="preserve">*Cumplimiento de las obligaciones contractuales que tiene la entidad.
* Se generó un porcentaje acumulado del pago correspondiente en 11,86% para la vigencia y 51,89% para los recursos de reserva </v>
      </c>
      <c r="EP67" s="149">
        <f t="shared" si="153"/>
        <v>4.53</v>
      </c>
      <c r="EQ67" s="149">
        <f t="shared" si="153"/>
        <v>0</v>
      </c>
      <c r="ER67" s="149" t="str">
        <f t="shared" si="153"/>
        <v>Dado que este es un indicador es decreciente, se cumplió el promedio de días estimado en el trámite de cuentas</v>
      </c>
      <c r="ES67" s="149" t="str">
        <f t="shared" si="153"/>
        <v>N.A.</v>
      </c>
      <c r="ET67" s="149" t="str">
        <f t="shared" si="153"/>
        <v xml:space="preserve">*Cumplimiento de las obligaciones contractuales que tiene la entidad.
* Se generó un porcentaje acumulado del pago correspondiente en 11,86% para la vigencia y 51,89% para los recursos de reserva </v>
      </c>
      <c r="EU67" s="149">
        <f t="shared" si="125"/>
        <v>2.3199999999999998</v>
      </c>
      <c r="EV67" s="149">
        <f t="shared" si="125"/>
        <v>0</v>
      </c>
      <c r="EW67" s="149" t="str">
        <f t="shared" si="125"/>
        <v>Dado que este es un indicador es decreciente, se cumplió el promedio de días estimado en el trámite de cuentas</v>
      </c>
      <c r="EX67" s="149" t="str">
        <f t="shared" si="125"/>
        <v>N.A.</v>
      </c>
      <c r="EY67" s="149" t="str">
        <f t="shared" si="125"/>
        <v xml:space="preserve">*Cumplimiento de las obligaciones contractuales que tiene la entidad.
* Se generó un porcentaje acumulado del pago correspondiente en 31,34% para la vigencia y 77,45% para los recursos de reserva </v>
      </c>
      <c r="EZ67" s="149">
        <f t="shared" si="153"/>
        <v>25.76</v>
      </c>
      <c r="FA67" s="149">
        <f t="shared" si="153"/>
        <v>0</v>
      </c>
      <c r="FB67" s="149">
        <f t="shared" si="153"/>
        <v>0</v>
      </c>
      <c r="FC67" s="149">
        <f t="shared" si="153"/>
        <v>0</v>
      </c>
      <c r="FD67" s="149">
        <f t="shared" si="153"/>
        <v>0</v>
      </c>
      <c r="FE67" s="149">
        <f t="shared" si="153"/>
        <v>0</v>
      </c>
      <c r="FF67" s="149">
        <f t="shared" si="154"/>
        <v>0</v>
      </c>
      <c r="FG67" s="149">
        <f t="shared" si="154"/>
        <v>0</v>
      </c>
      <c r="FH67" s="149">
        <f t="shared" si="154"/>
        <v>0</v>
      </c>
      <c r="FI67" s="149">
        <f t="shared" si="154"/>
        <v>0</v>
      </c>
      <c r="FJ67" s="149">
        <f t="shared" si="154"/>
        <v>0</v>
      </c>
      <c r="FK67" s="149">
        <f t="shared" si="154"/>
        <v>0</v>
      </c>
      <c r="FL67" s="149">
        <f t="shared" si="154"/>
        <v>0</v>
      </c>
      <c r="FM67" s="149">
        <f t="shared" si="154"/>
        <v>0</v>
      </c>
      <c r="FN67" s="149">
        <f t="shared" si="154"/>
        <v>0</v>
      </c>
      <c r="FO67" s="149">
        <f t="shared" si="154"/>
        <v>0</v>
      </c>
      <c r="FP67" s="149">
        <f t="shared" si="154"/>
        <v>0</v>
      </c>
      <c r="FQ67" s="149">
        <f t="shared" si="154"/>
        <v>0</v>
      </c>
      <c r="FR67" s="149">
        <f t="shared" si="154"/>
        <v>0</v>
      </c>
      <c r="FS67" s="149">
        <f t="shared" si="154"/>
        <v>0</v>
      </c>
      <c r="FT67" s="149">
        <f t="shared" si="154"/>
        <v>0</v>
      </c>
      <c r="FU67" s="149">
        <f t="shared" si="154"/>
        <v>0</v>
      </c>
      <c r="FV67" s="149">
        <f t="shared" si="155"/>
        <v>0</v>
      </c>
      <c r="FW67" s="149">
        <f t="shared" si="155"/>
        <v>0</v>
      </c>
      <c r="FX67" s="149">
        <f t="shared" si="155"/>
        <v>0</v>
      </c>
      <c r="FY67" s="149">
        <f t="shared" si="155"/>
        <v>0</v>
      </c>
      <c r="FZ67" s="149">
        <f t="shared" si="155"/>
        <v>0</v>
      </c>
      <c r="GA67" s="149">
        <f t="shared" si="155"/>
        <v>0</v>
      </c>
      <c r="GB67" s="149">
        <f t="shared" si="155"/>
        <v>0</v>
      </c>
      <c r="GC67" s="149">
        <f t="shared" si="155"/>
        <v>0</v>
      </c>
      <c r="GD67" s="149">
        <f t="shared" si="155"/>
        <v>0</v>
      </c>
      <c r="GE67" s="149">
        <f t="shared" si="155"/>
        <v>0</v>
      </c>
      <c r="GF67" s="149">
        <f t="shared" si="136"/>
        <v>1.5633333333333335</v>
      </c>
      <c r="GG67" s="149">
        <f t="shared" si="137"/>
        <v>0.51666666666666672</v>
      </c>
      <c r="GH67" s="149">
        <f t="shared" si="138"/>
        <v>0.56833333333333336</v>
      </c>
      <c r="GI67" s="149">
        <f t="shared" si="139"/>
        <v>0.5033333333333333</v>
      </c>
      <c r="GJ67" s="149">
        <f t="shared" si="140"/>
        <v>0.755</v>
      </c>
      <c r="GK67" s="149">
        <f t="shared" si="141"/>
        <v>25.76</v>
      </c>
      <c r="GL67" s="149">
        <f>GS67</f>
        <v>63.96588486140724</v>
      </c>
      <c r="GM67" s="149">
        <f t="shared" ref="GM67:GO67" si="157">GT67</f>
        <v>81.982942430703616</v>
      </c>
      <c r="GN67" s="149">
        <f t="shared" si="157"/>
        <v>90.991471215351808</v>
      </c>
      <c r="GO67" s="149">
        <f t="shared" si="157"/>
        <v>95.495735607675897</v>
      </c>
      <c r="GP67" s="149">
        <f>GW67</f>
        <v>97.747867803837948</v>
      </c>
      <c r="GQ67" s="149">
        <f>GX67</f>
        <v>98.873933901918974</v>
      </c>
      <c r="GR67" s="153">
        <f>GQ67</f>
        <v>98.873933901918974</v>
      </c>
      <c r="GS67" s="149">
        <f>+IF($A67=124,(DI67/DV67)*100,IFERROR(IF($X67="Creciente",IF($AB67="Número",SUM(GL67)/SUM(DO67)*($AX67-$AW67),SUM(GL67)/SUM(DO67))*($AX67-$AW67),IF(AND($DG67="Constante",$AB67="Porcentaje"),AVERAGEIF(GL67,"&lt;&gt;0")/AVERAGEIF(DO67,"&lt;&gt;0")*100,SUM(GL67)/SUM(DO67)*$DU67)),"No Programó"))</f>
        <v>63.96588486140724</v>
      </c>
      <c r="GT67" s="149">
        <f>+IF(OR($A67=52,$A67=124),AVERAGE(100,GS67),IFERROR(IF($X67="Creciente",IF($AB67="Número",SUM($GL67:GM67)/SUM($DO67:DP67)*($AX67-$AW67),SUM($GL67:GM67)/SUM($DO67:DP67))*($AX67-$AW67),IF($DG67="Creciente",GM67*GM67/GM67,IF(AND($DG67="Constante",$AB67="Porcentaje"),AVERAGEIF($GL67:GM67,"&lt;&gt;0")/AVERAGEIF($DO67:DP67,"&lt;&gt;0")*100,SUM($GL67:GM67)/SUM($DO67:DP67)*$DU67))),GS67))</f>
        <v>81.982942430703616</v>
      </c>
      <c r="GU67" s="149">
        <f>+IF(OR($A67=52,$A67=124),AVERAGE(100,GT67),IFERROR(IF($X67="Creciente",IF($AB67="Número",SUM($GL67:GN67)/SUM($DO67:DQ67)*($AX67-$AW67),SUM($GL67:GN67)/SUM($DO67:DQ67))*($AX67-$AW67),IF($DG67="Creciente",GN67*GN67/GN67,IF(AND($DG67="Constante",$AB67="Porcentaje"),AVERAGEIF($GL67:GN67,"&lt;&gt;0")/AVERAGEIF($DO67:DQ67,"&lt;&gt;0")*100,SUM($GL67:GN67)/SUM($DO67:DQ67)*$DU67))),GT67))</f>
        <v>90.991471215351808</v>
      </c>
      <c r="GV67" s="149">
        <f>+IF(OR($A67=52,$A67=124),AVERAGE(100,GU67),IFERROR(IF($X67="Creciente",IF($AB67="Número",SUM($GL67:GO67)/SUM($DO67:DR67)*($AX67-$AW67),SUM($GL67:GO67)/SUM($DO67:DR67))*($AX67-$AW67),IF($DG67="Creciente",GO67*GO67/GO67,IF(AND($DG67="Constante",$AB67="Porcentaje"),AVERAGEIF($GL67:GO67,"&lt;&gt;0")/AVERAGEIF($DO67:DR67,"&lt;&gt;0")*100,SUM($GL67:GO67)/SUM($DO67:DR67)*$DU67))),GU67))</f>
        <v>95.495735607675897</v>
      </c>
      <c r="GW67" s="149">
        <f>+IF(OR($A67=52,$A67=124),AVERAGE(100,GV67),IFERROR(IF($X67="Creciente",IF($AB67="Número",SUM($GL67:GP67)/SUM($DO67:DS67)*($AX67-$AW67),SUM($GL67:GP67)/SUM($DO67:DS67))*($AX67-$AW67),IF($DG67="Creciente",GP67*GP67/GP67,IF(AND($DG67="Constante",$AB67="Porcentaje"),AVERAGEIF($GL67:GP67,"&lt;&gt;0")/AVERAGEIF($DO67:DS67,"&lt;&gt;0")*100,SUM($GL67:GP67)/SUM($DO67:DS67)*$DU67))),GV67))</f>
        <v>97.747867803837948</v>
      </c>
      <c r="GX67" s="149">
        <f>+IF(OR($A67=52,$A67=124),AVERAGE(100,GW67),IFERROR(IF($X67="Creciente",IF($AB67="Número",SUM($GL67:GQ67)/SUM($DO67:DT67)*($AX67-$AW67),SUM($GL67:GQ67)/SUM($DO67:DT67))*($AX67-$AW67),IF($DG67="Creciente",GQ67*GQ67/GQ67,IF(AND($DG67="Constante",$AB67="Porcentaje"),AVERAGEIF($GL67:GQ67,"&lt;&gt;0")/AVERAGEIF($DO67:DT67,"&lt;&gt;0")*100,SUM($GL67:GQ67)/SUM($DO67:DT67)*$DU67))),GW67))</f>
        <v>98.873933901918974</v>
      </c>
      <c r="GY67" s="149" t="str">
        <f t="shared" si="147"/>
        <v>Tiempo de desembolsos a contratistas, expresado en días.</v>
      </c>
      <c r="GZ67" s="149" t="str">
        <f t="shared" si="148"/>
        <v>• Desembolsos a contratistas.</v>
      </c>
      <c r="HA67" s="149" t="str">
        <f t="shared" si="149"/>
        <v xml:space="preserve">* Satisfacción del cliente
* Garantes del cumplimiento contractual y tributario. </v>
      </c>
      <c r="HB67" s="149" t="str">
        <f t="shared" si="150"/>
        <v>*  Ordenes de pago planillas de giro
* Hoja de ruta
* Planillas de liquidación liquidadas y pagadas</v>
      </c>
      <c r="HC67" s="149" t="str">
        <f t="shared" si="127"/>
        <v>Cumple</v>
      </c>
      <c r="HD67" s="149" t="str">
        <f t="shared" si="127"/>
        <v>Cumplido</v>
      </c>
      <c r="HE67" s="149" t="str">
        <f t="shared" si="127"/>
        <v>Adecuado</v>
      </c>
      <c r="HF67" s="149" t="str">
        <f t="shared" si="127"/>
        <v>Coherente</v>
      </c>
      <c r="HG67" s="149" t="str">
        <f t="shared" si="127"/>
        <v>Concuerda</v>
      </c>
      <c r="HH67" s="149" t="str">
        <f t="shared" si="127"/>
        <v>Concuerda</v>
      </c>
      <c r="HI67" s="149" t="str">
        <f t="shared" si="127"/>
        <v>Relación directa</v>
      </c>
      <c r="HJ67" s="149" t="str">
        <f t="shared" si="127"/>
        <v>Adecuado</v>
      </c>
      <c r="HK67" s="149" t="str">
        <f t="shared" si="127"/>
        <v>Oportuna</v>
      </c>
      <c r="HL67" s="149" t="str">
        <f t="shared" si="127"/>
        <v>Sin observaciones.</v>
      </c>
      <c r="HM67" s="149" t="str">
        <f t="shared" si="128"/>
        <v>Cesar Arcos</v>
      </c>
      <c r="HN67" s="149" t="str">
        <f t="shared" si="128"/>
        <v>Cumple</v>
      </c>
      <c r="HO67" s="149" t="str">
        <f t="shared" si="128"/>
        <v>Cumplido</v>
      </c>
      <c r="HP67" s="149" t="str">
        <f t="shared" si="128"/>
        <v>Adecuado</v>
      </c>
      <c r="HQ67" s="149" t="str">
        <f t="shared" si="128"/>
        <v>Coherente</v>
      </c>
      <c r="HR67" s="149" t="str">
        <f t="shared" si="128"/>
        <v>Concuerda</v>
      </c>
      <c r="HS67" s="149" t="str">
        <f t="shared" si="128"/>
        <v>Concuerda</v>
      </c>
      <c r="HT67" s="149" t="str">
        <f t="shared" si="128"/>
        <v>Relación directa</v>
      </c>
      <c r="HU67" s="149" t="str">
        <f t="shared" si="128"/>
        <v>Adecuado</v>
      </c>
      <c r="HV67" s="149" t="str">
        <f t="shared" si="128"/>
        <v>Oportuna</v>
      </c>
      <c r="HW67" s="149" t="str">
        <f t="shared" si="128"/>
        <v>Sin observaciones.</v>
      </c>
      <c r="HX67" s="149" t="str">
        <f t="shared" si="128"/>
        <v>Cesar Arcos</v>
      </c>
    </row>
    <row r="68" spans="1:232" x14ac:dyDescent="0.3">
      <c r="A68" s="225">
        <v>125</v>
      </c>
      <c r="B68" s="146" t="s">
        <v>1144</v>
      </c>
      <c r="C68" s="146" t="s">
        <v>1144</v>
      </c>
      <c r="D68" s="146" t="s">
        <v>1144</v>
      </c>
      <c r="E68" s="146" t="s">
        <v>1144</v>
      </c>
      <c r="F68" s="136" t="s">
        <v>1766</v>
      </c>
      <c r="G68" s="146" t="s">
        <v>1144</v>
      </c>
      <c r="H68" s="146" t="s">
        <v>1144</v>
      </c>
      <c r="I68" s="149" t="s">
        <v>1146</v>
      </c>
      <c r="J68" s="154" t="s">
        <v>191</v>
      </c>
      <c r="K68" s="154" t="s">
        <v>192</v>
      </c>
      <c r="L68" s="154" t="s">
        <v>193</v>
      </c>
      <c r="M68" s="154" t="s">
        <v>1201</v>
      </c>
      <c r="N68" s="154" t="s">
        <v>1202</v>
      </c>
      <c r="O68" s="154" t="s">
        <v>1644</v>
      </c>
      <c r="P68" s="148" t="s">
        <v>1766</v>
      </c>
      <c r="Q68" s="154" t="s">
        <v>1767</v>
      </c>
      <c r="R68" s="154" t="s">
        <v>1768</v>
      </c>
      <c r="S68" s="154" t="s">
        <v>1769</v>
      </c>
      <c r="T68" s="154" t="s">
        <v>1770</v>
      </c>
      <c r="U68" s="154">
        <v>0</v>
      </c>
      <c r="V68" s="154" t="s">
        <v>1771</v>
      </c>
      <c r="W68" s="148" t="s">
        <v>638</v>
      </c>
      <c r="X68" s="154" t="s">
        <v>638</v>
      </c>
      <c r="Y68" s="154" t="s">
        <v>1772</v>
      </c>
      <c r="Z68" s="154" t="s">
        <v>1773</v>
      </c>
      <c r="AA68" s="154" t="s">
        <v>1774</v>
      </c>
      <c r="AB68" s="154" t="s">
        <v>639</v>
      </c>
      <c r="AC68" s="154" t="s">
        <v>1271</v>
      </c>
      <c r="AD68" s="154" t="s">
        <v>1160</v>
      </c>
      <c r="AE68" s="154">
        <v>2016</v>
      </c>
      <c r="AF68" s="154">
        <v>0</v>
      </c>
      <c r="AG68" s="154">
        <v>2016</v>
      </c>
      <c r="AH68" s="154">
        <v>0</v>
      </c>
      <c r="AI68" s="154">
        <v>12</v>
      </c>
      <c r="AJ68" s="154">
        <v>12</v>
      </c>
      <c r="AK68" s="154">
        <v>12</v>
      </c>
      <c r="AL68" s="157">
        <v>3</v>
      </c>
      <c r="AM68" s="154">
        <v>0</v>
      </c>
      <c r="AN68" s="146" t="s">
        <v>1144</v>
      </c>
      <c r="AO68" s="146" t="s">
        <v>1144</v>
      </c>
      <c r="AP68" s="146" t="s">
        <v>1144</v>
      </c>
      <c r="AQ68" s="146" t="s">
        <v>1144</v>
      </c>
      <c r="AR68" s="146" t="s">
        <v>1144</v>
      </c>
      <c r="AS68" s="150" t="s">
        <v>1144</v>
      </c>
      <c r="AT68" s="156">
        <v>0</v>
      </c>
      <c r="AU68" s="156">
        <v>12</v>
      </c>
      <c r="AV68" s="156">
        <v>12</v>
      </c>
      <c r="AW68" s="156">
        <v>12</v>
      </c>
      <c r="AX68" s="158">
        <v>3</v>
      </c>
      <c r="AY68" s="156">
        <v>0</v>
      </c>
      <c r="BD68" s="149">
        <v>0</v>
      </c>
      <c r="BE68" s="149"/>
      <c r="BF68" s="149"/>
      <c r="BG68" s="149"/>
      <c r="BH68" s="149"/>
      <c r="BI68" s="149"/>
      <c r="BJ68" s="149">
        <v>0</v>
      </c>
      <c r="BK68" s="146" t="s">
        <v>1144</v>
      </c>
      <c r="BL68" s="146" t="s">
        <v>1144</v>
      </c>
      <c r="BM68" s="146" t="s">
        <v>1144</v>
      </c>
      <c r="BN68" s="146" t="s">
        <v>1144</v>
      </c>
      <c r="BO68" s="146" t="s">
        <v>1144</v>
      </c>
      <c r="BP68" s="146" t="s">
        <v>1144</v>
      </c>
      <c r="BQ68" s="146" t="s">
        <v>1144</v>
      </c>
      <c r="BR68" s="146" t="s">
        <v>1144</v>
      </c>
      <c r="BS68" s="146" t="s">
        <v>1144</v>
      </c>
      <c r="BT68" s="146" t="s">
        <v>1144</v>
      </c>
      <c r="BU68" s="146" t="s">
        <v>1144</v>
      </c>
      <c r="BV68" s="146" t="s">
        <v>1144</v>
      </c>
      <c r="BW68" s="154" t="s">
        <v>1144</v>
      </c>
      <c r="BX68" s="154" t="s">
        <v>1144</v>
      </c>
      <c r="BY68" s="154" t="s">
        <v>1144</v>
      </c>
      <c r="BZ68" s="154">
        <v>1</v>
      </c>
      <c r="CA68" s="154" t="s">
        <v>1144</v>
      </c>
      <c r="CB68" s="154" t="s">
        <v>1144</v>
      </c>
      <c r="CC68" s="154" t="s">
        <v>1144</v>
      </c>
      <c r="CD68" s="154">
        <v>1</v>
      </c>
      <c r="CE68" s="154" t="s">
        <v>319</v>
      </c>
      <c r="CF68" s="154" t="s">
        <v>1144</v>
      </c>
      <c r="CG68" s="154" t="s">
        <v>1144</v>
      </c>
      <c r="CH68" s="154" t="s">
        <v>1144</v>
      </c>
      <c r="CI68" s="154" t="s">
        <v>1144</v>
      </c>
      <c r="CJ68" s="154" t="s">
        <v>1144</v>
      </c>
      <c r="CK68" s="154" t="s">
        <v>1144</v>
      </c>
      <c r="CL68" s="154" t="s">
        <v>1144</v>
      </c>
      <c r="CM68" s="154" t="s">
        <v>1144</v>
      </c>
      <c r="CN68" s="154" t="s">
        <v>1144</v>
      </c>
      <c r="CO68" s="154" t="s">
        <v>1144</v>
      </c>
      <c r="CP68" s="154" t="s">
        <v>1144</v>
      </c>
      <c r="CQ68" s="154" t="s">
        <v>1144</v>
      </c>
      <c r="CR68" s="154" t="s">
        <v>1144</v>
      </c>
      <c r="CS68" s="154" t="s">
        <v>1144</v>
      </c>
      <c r="CT68" s="154" t="s">
        <v>1144</v>
      </c>
      <c r="CU68" s="154" t="s">
        <v>1144</v>
      </c>
      <c r="CV68" s="154" t="s">
        <v>1144</v>
      </c>
      <c r="CW68" s="154" t="s">
        <v>1144</v>
      </c>
      <c r="CX68" s="154" t="s">
        <v>1144</v>
      </c>
      <c r="CY68" s="154" t="s">
        <v>1144</v>
      </c>
      <c r="CZ68" s="154" t="s">
        <v>1144</v>
      </c>
      <c r="DA68" s="154" t="s">
        <v>1144</v>
      </c>
      <c r="DB68" s="152" t="str">
        <f t="shared" si="32"/>
        <v xml:space="preserve">Plan de Acción, SGC, PROCESO: Gestión Financiera, </v>
      </c>
      <c r="DC68" s="149" t="str">
        <f t="shared" si="151"/>
        <v>Número de memorandos o presentaciones con la información presupuestal sintetizada.</v>
      </c>
      <c r="DD68" s="149" t="str">
        <f t="shared" si="151"/>
        <v>• Memorandos o presentaciones con la información presupuestal sintetizada.</v>
      </c>
      <c r="DE68" s="149" t="str">
        <f t="shared" si="151"/>
        <v>* Proporcionar las herramientas para la toma de decisiones.</v>
      </c>
      <c r="DF68" s="149" t="str">
        <f t="shared" si="151"/>
        <v>* Comunicaciones enviadas.</v>
      </c>
      <c r="DG68" s="149" t="str">
        <f t="shared" si="151"/>
        <v>Suma</v>
      </c>
      <c r="DH68" s="149">
        <f t="shared" si="129"/>
        <v>4</v>
      </c>
      <c r="DI68" s="149">
        <f t="shared" si="130"/>
        <v>0</v>
      </c>
      <c r="DJ68" s="149">
        <f t="shared" si="131"/>
        <v>0</v>
      </c>
      <c r="DK68" s="149">
        <f t="shared" si="132"/>
        <v>1</v>
      </c>
      <c r="DL68" s="149">
        <f t="shared" si="133"/>
        <v>1</v>
      </c>
      <c r="DM68" s="149">
        <f t="shared" si="134"/>
        <v>1</v>
      </c>
      <c r="DN68" s="149">
        <f t="shared" si="135"/>
        <v>1</v>
      </c>
      <c r="DO68" s="149">
        <f t="shared" ref="DO68:DT69" si="158">+IF(AND($X68="Constante",$DG68="Constante"),$DU68,IF(AND($AB68="Porcentaje",$X68="Creciente",$DG68="Suma",$AW68&lt;&gt;"No Disponible / No Aplica",IFERROR($AX68-$AW68,0)&gt;0),VLOOKUP($A68,consolidado,MATCH(DO$5,consolidadofila,0),0)/$DH68*$AX68*($AX68-$AW68)/$AX68,IF(AND($AB68="Porcentaje",$X68="Creciente",,$AW68&lt;&gt;"No Disponible / No Aplica",IFERROR($AX68-$AW68,0)&gt;0,OR($DG68="Constante",$DG68="Creciente")),VLOOKUP($A68,consolidado,MATCH(DO$5,consolidadofila,0),0)*($AX68-$AW68)/$AX68,IF(AND($AB68="Número",$X68="Creciente"),VLOOKUP($A68,consolidado,MATCH(DO$5,consolidadofila,0),0),IF(AND($AB68="Porcentaje",$DG68="Suma"),VLOOKUP($A68,consolidado,MATCH(DO$5,consolidadofila,0),0)/$DH68*$AX68,IF(AND($AB68="Porcentaje",OR($DG68="Constante",$DG68="Creciente")),VLOOKUP($A68,consolidado,MATCH(DO$5,consolidadofila,0),0),IF($AB68="Número",VLOOKUP($A68,consolidado,MATCH(DO$5,consolidadofila,0),0))))))))</f>
        <v>0</v>
      </c>
      <c r="DP68" s="149">
        <f t="shared" si="158"/>
        <v>0</v>
      </c>
      <c r="DQ68" s="149">
        <f t="shared" si="158"/>
        <v>1</v>
      </c>
      <c r="DR68" s="149">
        <f t="shared" si="158"/>
        <v>1</v>
      </c>
      <c r="DS68" s="149">
        <f t="shared" si="158"/>
        <v>1</v>
      </c>
      <c r="DT68" s="149">
        <f t="shared" si="158"/>
        <v>1</v>
      </c>
      <c r="DU68" s="149">
        <f t="shared" si="152"/>
        <v>3</v>
      </c>
      <c r="DV68" s="149">
        <f t="shared" si="152"/>
        <v>0</v>
      </c>
      <c r="DW68" s="149">
        <f t="shared" si="152"/>
        <v>0</v>
      </c>
      <c r="DX68" s="149" t="str">
        <f t="shared" si="152"/>
        <v>N.A.</v>
      </c>
      <c r="DY68" s="149" t="str">
        <f t="shared" si="152"/>
        <v>N.A.</v>
      </c>
      <c r="DZ68" s="149" t="str">
        <f t="shared" si="152"/>
        <v>N.A.</v>
      </c>
      <c r="EA68" s="149">
        <f t="shared" si="152"/>
        <v>0</v>
      </c>
      <c r="EB68" s="149">
        <f t="shared" si="152"/>
        <v>0</v>
      </c>
      <c r="EC68" s="149" t="str">
        <f t="shared" si="152"/>
        <v>N.A.</v>
      </c>
      <c r="ED68" s="149" t="str">
        <f t="shared" si="152"/>
        <v>N.A.</v>
      </c>
      <c r="EE68" s="149" t="str">
        <f t="shared" si="152"/>
        <v>N.A.</v>
      </c>
      <c r="EF68" s="149">
        <f t="shared" si="152"/>
        <v>1</v>
      </c>
      <c r="EG68" s="149">
        <f t="shared" si="152"/>
        <v>0</v>
      </c>
      <c r="EH68" s="149" t="str">
        <f t="shared" si="152"/>
        <v>Se reportó para el trimestre un porcentaje en la ejecución acumulada del 29,38%. Ejecución de la Reserva 52,71%. PAC  ejecutado de vigencia 11,86% y del PAC de reserva 51,01% . Pasivos Exigibles por valor de $44,049,186</v>
      </c>
      <c r="EI68" s="149" t="str">
        <f t="shared" si="152"/>
        <v>N.A.</v>
      </c>
      <c r="EJ68" s="149" t="str">
        <f t="shared" si="152"/>
        <v>Informar el estado de la ejecución presupuestal de la entidad en el presupuesto de vigencia, reserva y de los compromisos fenecidos, para toma efectiva de decisiones.</v>
      </c>
      <c r="EK68" s="149">
        <f t="shared" si="153"/>
        <v>1</v>
      </c>
      <c r="EL68" s="149">
        <f t="shared" si="153"/>
        <v>0</v>
      </c>
      <c r="EM68" s="149" t="str">
        <f t="shared" si="153"/>
        <v>Para el mes de abril: se reportó el porcentaje acumulado en la ejecución del 36,46% . Ejecución de la Reserva 64,61%. PAC acumulado de la vigencia 16,42% y PAC acumulado de la reserva 62,9%. Pasivos Exigibles por valor de $44,049,186</v>
      </c>
      <c r="EN68" s="149" t="str">
        <f t="shared" si="153"/>
        <v>N.A.</v>
      </c>
      <c r="EO68" s="149" t="str">
        <f t="shared" si="153"/>
        <v>Informar el estado de la ejecución presupuestal de la entidad en el presupuesto de vigencia, reserva y de los compromisos fenecidos, para toma efectiva de decisiones.</v>
      </c>
      <c r="EP68" s="149">
        <f t="shared" si="153"/>
        <v>1</v>
      </c>
      <c r="EQ68" s="149">
        <f t="shared" si="153"/>
        <v>0</v>
      </c>
      <c r="ER68" s="149" t="str">
        <f t="shared" si="153"/>
        <v>Para el mes de mayo: se reportó el porcentaje acumulado en la ejecución del 45,52% . Ejecución de la Reserva 70,92%. PAC acumulado de la vigencia 22,51% y PAC acumulado de la reserva 69,08%. Pasivos Exigibles por valor de $44,049,186</v>
      </c>
      <c r="ES68" s="149" t="str">
        <f t="shared" si="153"/>
        <v>N.A.</v>
      </c>
      <c r="ET68" s="149" t="str">
        <f t="shared" si="153"/>
        <v>Informar el estado de la ejecución presupuestal de la entidad en el presupuesto de vigencia, reserva y de los compromisos fenecidos, para toma efectiva de decisiones.</v>
      </c>
      <c r="EU68" s="149">
        <f t="shared" si="125"/>
        <v>1</v>
      </c>
      <c r="EV68" s="149">
        <f t="shared" si="125"/>
        <v>0</v>
      </c>
      <c r="EW68" s="149" t="str">
        <f t="shared" si="125"/>
        <v>Para el mes de junio: se reportó el porcentaje acumulado en la ejecución del 52,35% . Ejecución de la Reserva 77,90%. PAC acumulado de la vigencia 31,34% y PAC acumulado de la reserva 77,45%. Y Pasivos Exigibles por valor de $44,049,186</v>
      </c>
      <c r="EX68" s="149" t="str">
        <f t="shared" si="125"/>
        <v>N.A.</v>
      </c>
      <c r="EY68" s="149" t="str">
        <f t="shared" si="125"/>
        <v>Informar el estado de la ejecución presupuestal de la entidad en el presupuesto de vigencia, reserva y de los compromisos fenecidos, para toma efectiva de decisiones.</v>
      </c>
      <c r="EZ68" s="149">
        <f t="shared" si="153"/>
        <v>4</v>
      </c>
      <c r="FA68" s="149">
        <f t="shared" si="153"/>
        <v>0</v>
      </c>
      <c r="FB68" s="149">
        <f t="shared" si="153"/>
        <v>0</v>
      </c>
      <c r="FC68" s="149">
        <f t="shared" si="153"/>
        <v>0</v>
      </c>
      <c r="FD68" s="149">
        <f t="shared" si="153"/>
        <v>0</v>
      </c>
      <c r="FE68" s="149">
        <f t="shared" si="153"/>
        <v>0</v>
      </c>
      <c r="FF68" s="149">
        <f t="shared" si="154"/>
        <v>0</v>
      </c>
      <c r="FG68" s="149">
        <f t="shared" si="154"/>
        <v>0</v>
      </c>
      <c r="FH68" s="149">
        <f t="shared" si="154"/>
        <v>0</v>
      </c>
      <c r="FI68" s="149">
        <f t="shared" si="154"/>
        <v>0</v>
      </c>
      <c r="FJ68" s="149">
        <f t="shared" si="154"/>
        <v>0</v>
      </c>
      <c r="FK68" s="149">
        <f t="shared" si="154"/>
        <v>0</v>
      </c>
      <c r="FL68" s="149">
        <f t="shared" si="154"/>
        <v>0</v>
      </c>
      <c r="FM68" s="149">
        <f t="shared" si="154"/>
        <v>0</v>
      </c>
      <c r="FN68" s="149">
        <f t="shared" si="154"/>
        <v>0</v>
      </c>
      <c r="FO68" s="149">
        <f t="shared" si="154"/>
        <v>0</v>
      </c>
      <c r="FP68" s="149">
        <f t="shared" si="154"/>
        <v>0</v>
      </c>
      <c r="FQ68" s="149">
        <f t="shared" si="154"/>
        <v>0</v>
      </c>
      <c r="FR68" s="149">
        <f t="shared" si="154"/>
        <v>0</v>
      </c>
      <c r="FS68" s="149">
        <f t="shared" si="154"/>
        <v>0</v>
      </c>
      <c r="FT68" s="149">
        <f t="shared" si="154"/>
        <v>0</v>
      </c>
      <c r="FU68" s="149">
        <f t="shared" si="154"/>
        <v>0</v>
      </c>
      <c r="FV68" s="149">
        <f t="shared" si="155"/>
        <v>0</v>
      </c>
      <c r="FW68" s="149">
        <f t="shared" si="155"/>
        <v>0</v>
      </c>
      <c r="FX68" s="149">
        <f t="shared" si="155"/>
        <v>0</v>
      </c>
      <c r="FY68" s="149">
        <f t="shared" si="155"/>
        <v>0</v>
      </c>
      <c r="FZ68" s="149">
        <f t="shared" si="155"/>
        <v>0</v>
      </c>
      <c r="GA68" s="149">
        <f t="shared" si="155"/>
        <v>0</v>
      </c>
      <c r="GB68" s="149">
        <f t="shared" si="155"/>
        <v>0</v>
      </c>
      <c r="GC68" s="149">
        <f t="shared" si="155"/>
        <v>0</v>
      </c>
      <c r="GD68" s="149">
        <f t="shared" si="155"/>
        <v>0</v>
      </c>
      <c r="GE68" s="149">
        <f t="shared" si="155"/>
        <v>0</v>
      </c>
      <c r="GF68" s="149">
        <f t="shared" si="136"/>
        <v>0</v>
      </c>
      <c r="GG68" s="149">
        <f t="shared" si="137"/>
        <v>0</v>
      </c>
      <c r="GH68" s="149">
        <f t="shared" si="138"/>
        <v>1</v>
      </c>
      <c r="GI68" s="149">
        <f t="shared" si="139"/>
        <v>1</v>
      </c>
      <c r="GJ68" s="149">
        <f t="shared" si="140"/>
        <v>1</v>
      </c>
      <c r="GK68" s="149">
        <f t="shared" si="141"/>
        <v>4</v>
      </c>
      <c r="GL68" s="149">
        <f t="shared" si="142"/>
        <v>0</v>
      </c>
      <c r="GM68" s="149">
        <f t="shared" si="143"/>
        <v>0</v>
      </c>
      <c r="GN68" s="149">
        <f t="shared" si="144"/>
        <v>25</v>
      </c>
      <c r="GO68" s="149">
        <f t="shared" si="145"/>
        <v>25</v>
      </c>
      <c r="GP68" s="149">
        <f t="shared" si="146"/>
        <v>25</v>
      </c>
      <c r="GQ68" s="149">
        <f t="shared" si="146"/>
        <v>25</v>
      </c>
      <c r="GR68" s="153">
        <f>+IF(DG68="Suma",SUM(GL68:GQ68),AVERAGE(GL68:GQ68))</f>
        <v>100</v>
      </c>
      <c r="GS68" s="149" t="str">
        <f t="shared" si="156"/>
        <v>No Programó</v>
      </c>
      <c r="GT68" s="149" t="str">
        <f>+IF(OR($A68=52,$A68=124),1,IFERROR(IF($X68="Creciente",IF($AB68="Número",SUM($GL68:GM68)/SUM($DO68:DP68)*($AX68-$AW68),SUM($GL68:GM68)/SUM($DO68:DP68))*($AX68-$AW68),IF($DG68="Creciente",GM68*GM68/GM68,IF(AND($DG68="Constante",$AB68="Porcentaje"),AVERAGEIF($GL68:GM68,"&lt;&gt;0")/AVERAGEIF($DO68:DP68,"&lt;&gt;0")*100,SUM($GL68:GM68)/SUM($DO68:DP68)*$DU68))),GS68))</f>
        <v>No Programó</v>
      </c>
      <c r="GU68" s="149">
        <f>+IF(OR($A68=52,$A68=125),100,IFERROR(IF($X68="Creciente",IF($AB68="Número",SUM($GL68:GN68)/SUM($DO68:DQ68)*($AX68-$AW68),SUM($GL68:GN68)/SUM($DO68:DQ68))*($AX68-$AW68),IF($DG68="Creciente",GN68*GN68/GN68,IF(AND($DG68="Constante",$AB68="Porcentaje"),AVERAGEIF($GL68:GN68,"&lt;&gt;0")/AVERAGEIF($DO68:DQ68,"&lt;&gt;0")*100,SUM($GL68:GN68)/SUM($DO68:DQ68)*$DU68))),GT68))</f>
        <v>100</v>
      </c>
      <c r="GV68" s="149">
        <f>+IF(OR($A68=52,$A68=125),100,IFERROR(IF($X68="Creciente",IF($AB68="Número",SUM($GL68:GO68)/SUM($DO68:DR68)*($AX68-$AW68),SUM($GL68:GO68)/SUM($DO68:DR68))*($AX68-$AW68),IF($DG68="Creciente",GO68*GO68/GO68,IF(AND($DG68="Constante",$AB68="Porcentaje"),AVERAGEIF($GL68:GO68,"&lt;&gt;0")/AVERAGEIF($DO68:DR68,"&lt;&gt;0")*100,SUM($GL68:GO68)/SUM($DO68:DR68)*$DU68))),GU68))</f>
        <v>100</v>
      </c>
      <c r="GW68" s="149">
        <f>+IF(OR($A68=52,$A68=125),100,IFERROR(IF($X68="Creciente",IF($AB68="Número",SUM($GL68:GP68)/SUM($DO68:DS68)*($AX68-$AW68),SUM($GL68:GP68)/SUM($DO68:DS68))*($AX68-$AW68),IF($DG68="Creciente",GP68*GP68/GP68,IF(AND($DG68="Constante",$AB68="Porcentaje"),AVERAGEIF($GL68:GP68,"&lt;&gt;0")/AVERAGEIF($DO68:DS68,"&lt;&gt;0")*100,SUM($GL68:GP68)/SUM($DO68:DS68)*$DU68))),GV68))</f>
        <v>100</v>
      </c>
      <c r="GX68" s="149">
        <f>+IF(OR($A68=52,$A68=125),100,IFERROR(IF($X68="Creciente",IF($AB68="Número",SUM($GL68:GQ68)/SUM($DO68:DT68)*($AX68-$AW68),SUM($GL68:GQ68)/SUM($DO68:DT68))*($AX68-$AW68),IF($DG68="Creciente",GQ68*GQ68/GQ68,IF(AND($DG68="Constante",$AB68="Porcentaje"),AVERAGEIF($GL68:GQ68,"&lt;&gt;0")/AVERAGEIF($DO68:DT68,"&lt;&gt;0")*100,SUM($GL68:GQ68)/SUM($DO68:DT68)*$DU68))),GW68))</f>
        <v>100</v>
      </c>
      <c r="GY68" s="149" t="str">
        <f t="shared" si="147"/>
        <v>Número de memorandos o presentaciones con la información presupuestal sintetizada.</v>
      </c>
      <c r="GZ68" s="149" t="str">
        <f t="shared" si="148"/>
        <v>• Memorandos o presentaciones con la información presupuestal sintetizada.</v>
      </c>
      <c r="HA68" s="149" t="str">
        <f t="shared" si="149"/>
        <v>* Proporcionar las herramientas para la toma de decisiones.</v>
      </c>
      <c r="HB68" s="149" t="str">
        <f t="shared" si="150"/>
        <v>* Comunicaciones enviadas.</v>
      </c>
      <c r="HC68" s="149" t="str">
        <f t="shared" si="127"/>
        <v>Cumple</v>
      </c>
      <c r="HD68" s="149" t="str">
        <f t="shared" si="127"/>
        <v>Cumplido</v>
      </c>
      <c r="HE68" s="149" t="str">
        <f t="shared" si="127"/>
        <v>No adecuado</v>
      </c>
      <c r="HF68" s="149" t="str">
        <f t="shared" si="127"/>
        <v>Coherente</v>
      </c>
      <c r="HG68" s="149" t="str">
        <f t="shared" si="127"/>
        <v>Concuerda</v>
      </c>
      <c r="HH68" s="149" t="str">
        <f t="shared" si="127"/>
        <v>Concuerda</v>
      </c>
      <c r="HI68" s="149" t="str">
        <f t="shared" si="127"/>
        <v>Relación directa</v>
      </c>
      <c r="HJ68" s="149" t="str">
        <f t="shared" si="127"/>
        <v>Adecuado</v>
      </c>
      <c r="HK68" s="149" t="str">
        <f t="shared" si="127"/>
        <v>Oportuna</v>
      </c>
      <c r="HL68" s="149" t="str">
        <f t="shared" si="127"/>
        <v>C3: Se atendió la observación de incluir el reporte de avance en la gestión, y beneficios, logros y resultados para el caso de reservas y pasivos exigibles.</v>
      </c>
      <c r="HM68" s="149" t="str">
        <f t="shared" si="128"/>
        <v>Cesar Arcos</v>
      </c>
      <c r="HN68" s="149" t="str">
        <f t="shared" si="128"/>
        <v>Cumple</v>
      </c>
      <c r="HO68" s="149" t="str">
        <f t="shared" si="128"/>
        <v>Cumplido</v>
      </c>
      <c r="HP68" s="149" t="str">
        <f t="shared" si="128"/>
        <v>Adecuado</v>
      </c>
      <c r="HQ68" s="149" t="str">
        <f t="shared" si="128"/>
        <v>Coherente</v>
      </c>
      <c r="HR68" s="149" t="str">
        <f t="shared" si="128"/>
        <v>Concuerda</v>
      </c>
      <c r="HS68" s="149" t="str">
        <f t="shared" si="128"/>
        <v>Concuerda</v>
      </c>
      <c r="HT68" s="149" t="str">
        <f t="shared" si="128"/>
        <v>Relación directa</v>
      </c>
      <c r="HU68" s="149" t="str">
        <f t="shared" si="128"/>
        <v>Adecuado</v>
      </c>
      <c r="HV68" s="149" t="str">
        <f t="shared" si="128"/>
        <v>Oportuna</v>
      </c>
      <c r="HW68" s="149" t="str">
        <f t="shared" si="128"/>
        <v>Sin observaciones.</v>
      </c>
      <c r="HX68" s="149" t="str">
        <f t="shared" si="128"/>
        <v>Cesar Arcos</v>
      </c>
    </row>
    <row r="69" spans="1:232" x14ac:dyDescent="0.3">
      <c r="A69" s="225" t="s">
        <v>389</v>
      </c>
      <c r="B69" s="146" t="s">
        <v>1144</v>
      </c>
      <c r="C69" s="146" t="s">
        <v>1144</v>
      </c>
      <c r="D69" s="146" t="s">
        <v>1144</v>
      </c>
      <c r="E69" s="146" t="s">
        <v>1144</v>
      </c>
      <c r="F69" s="136" t="s">
        <v>1775</v>
      </c>
      <c r="G69" s="146" t="s">
        <v>1144</v>
      </c>
      <c r="H69" s="146" t="s">
        <v>1144</v>
      </c>
      <c r="I69" s="149" t="s">
        <v>1146</v>
      </c>
      <c r="J69" s="154" t="s">
        <v>191</v>
      </c>
      <c r="K69" s="154" t="s">
        <v>192</v>
      </c>
      <c r="L69" s="154" t="s">
        <v>193</v>
      </c>
      <c r="M69" s="154" t="s">
        <v>1201</v>
      </c>
      <c r="N69" s="154" t="s">
        <v>1202</v>
      </c>
      <c r="O69" s="154" t="s">
        <v>1644</v>
      </c>
      <c r="P69" s="148" t="s">
        <v>1775</v>
      </c>
      <c r="Q69" s="154" t="s">
        <v>1776</v>
      </c>
      <c r="R69" s="154"/>
      <c r="S69" s="154" t="s">
        <v>1777</v>
      </c>
      <c r="T69" s="154" t="s">
        <v>1778</v>
      </c>
      <c r="U69" s="154">
        <v>0</v>
      </c>
      <c r="V69" s="154" t="s">
        <v>1776</v>
      </c>
      <c r="W69" s="148" t="s">
        <v>638</v>
      </c>
      <c r="X69" s="154" t="s">
        <v>638</v>
      </c>
      <c r="Y69" s="154"/>
      <c r="Z69" s="154" t="s">
        <v>1779</v>
      </c>
      <c r="AA69" s="154" t="s">
        <v>1780</v>
      </c>
      <c r="AB69" s="154" t="s">
        <v>639</v>
      </c>
      <c r="AC69" s="154" t="s">
        <v>1271</v>
      </c>
      <c r="AD69" s="154" t="s">
        <v>1160</v>
      </c>
      <c r="AE69" s="154">
        <v>2019</v>
      </c>
      <c r="AF69" s="154">
        <v>0</v>
      </c>
      <c r="AG69" s="154">
        <v>2019</v>
      </c>
      <c r="AH69" s="154" t="s">
        <v>1161</v>
      </c>
      <c r="AI69" s="154" t="s">
        <v>1161</v>
      </c>
      <c r="AJ69" s="154" t="s">
        <v>1161</v>
      </c>
      <c r="AK69" s="154">
        <v>3</v>
      </c>
      <c r="AL69" s="157">
        <v>1</v>
      </c>
      <c r="AM69" s="154" t="s">
        <v>1161</v>
      </c>
      <c r="AN69" s="146" t="s">
        <v>1144</v>
      </c>
      <c r="AO69" s="146" t="s">
        <v>1144</v>
      </c>
      <c r="AP69" s="146" t="s">
        <v>1144</v>
      </c>
      <c r="AQ69" s="146" t="s">
        <v>1144</v>
      </c>
      <c r="AR69" s="146" t="s">
        <v>1144</v>
      </c>
      <c r="AS69" s="150" t="s">
        <v>1144</v>
      </c>
      <c r="AT69" s="156" t="s">
        <v>1161</v>
      </c>
      <c r="AU69" s="156" t="s">
        <v>1161</v>
      </c>
      <c r="AV69" s="156" t="s">
        <v>1161</v>
      </c>
      <c r="AW69" s="156">
        <v>3</v>
      </c>
      <c r="AX69" s="158">
        <v>1</v>
      </c>
      <c r="AY69" s="156" t="s">
        <v>1161</v>
      </c>
      <c r="BD69" s="149">
        <v>0</v>
      </c>
      <c r="BE69" s="149"/>
      <c r="BF69" s="149"/>
      <c r="BG69" s="149"/>
      <c r="BH69" s="149"/>
      <c r="BI69" s="149"/>
      <c r="BJ69" s="149">
        <v>0</v>
      </c>
      <c r="BK69" s="146" t="s">
        <v>1144</v>
      </c>
      <c r="BL69" s="146" t="s">
        <v>1144</v>
      </c>
      <c r="BM69" s="146" t="s">
        <v>1144</v>
      </c>
      <c r="BN69" s="146" t="s">
        <v>1144</v>
      </c>
      <c r="BO69" s="146" t="s">
        <v>1144</v>
      </c>
      <c r="BP69" s="146" t="s">
        <v>1144</v>
      </c>
      <c r="BQ69" s="146" t="s">
        <v>1144</v>
      </c>
      <c r="BR69" s="146" t="s">
        <v>1144</v>
      </c>
      <c r="BS69" s="146" t="s">
        <v>1144</v>
      </c>
      <c r="BT69" s="146" t="s">
        <v>1144</v>
      </c>
      <c r="BU69" s="146" t="s">
        <v>1144</v>
      </c>
      <c r="BV69" s="146" t="s">
        <v>1144</v>
      </c>
      <c r="BW69" s="154" t="s">
        <v>1144</v>
      </c>
      <c r="BX69" s="154" t="s">
        <v>1144</v>
      </c>
      <c r="BY69" s="154" t="s">
        <v>1144</v>
      </c>
      <c r="BZ69" s="154">
        <v>1</v>
      </c>
      <c r="CA69" s="154" t="s">
        <v>1144</v>
      </c>
      <c r="CB69" s="154" t="s">
        <v>1144</v>
      </c>
      <c r="CC69" s="154" t="s">
        <v>1144</v>
      </c>
      <c r="CD69" s="154">
        <v>1</v>
      </c>
      <c r="CE69" s="154" t="s">
        <v>319</v>
      </c>
      <c r="CF69" s="154" t="s">
        <v>1144</v>
      </c>
      <c r="CG69" s="154" t="s">
        <v>1144</v>
      </c>
      <c r="CH69" s="154" t="s">
        <v>1144</v>
      </c>
      <c r="CI69" s="154" t="s">
        <v>1144</v>
      </c>
      <c r="CJ69" s="154" t="s">
        <v>1144</v>
      </c>
      <c r="CK69" s="154" t="s">
        <v>1144</v>
      </c>
      <c r="CL69" s="154" t="s">
        <v>1144</v>
      </c>
      <c r="CM69" s="154" t="s">
        <v>1144</v>
      </c>
      <c r="CN69" s="154" t="s">
        <v>1144</v>
      </c>
      <c r="CO69" s="154" t="s">
        <v>1144</v>
      </c>
      <c r="CP69" s="154" t="s">
        <v>1144</v>
      </c>
      <c r="CQ69" s="154" t="s">
        <v>1144</v>
      </c>
      <c r="CR69" s="154" t="s">
        <v>1144</v>
      </c>
      <c r="CS69" s="154" t="s">
        <v>1144</v>
      </c>
      <c r="CT69" s="154" t="s">
        <v>1144</v>
      </c>
      <c r="CU69" s="154" t="s">
        <v>1144</v>
      </c>
      <c r="CV69" s="154" t="s">
        <v>1144</v>
      </c>
      <c r="CW69" s="154" t="s">
        <v>1144</v>
      </c>
      <c r="CX69" s="154" t="s">
        <v>1144</v>
      </c>
      <c r="CY69" s="154" t="s">
        <v>1144</v>
      </c>
      <c r="CZ69" s="154" t="s">
        <v>1144</v>
      </c>
      <c r="DA69" s="154" t="s">
        <v>1144</v>
      </c>
      <c r="DB69" s="152" t="str">
        <f t="shared" si="32"/>
        <v xml:space="preserve">Plan de Acción, SGC, PROCESO: Gestión Financiera, </v>
      </c>
      <c r="DC69" s="149">
        <f t="shared" si="151"/>
        <v>0</v>
      </c>
      <c r="DD69" s="149">
        <f t="shared" si="151"/>
        <v>0</v>
      </c>
      <c r="DE69" s="149" t="str">
        <f t="shared" si="151"/>
        <v xml:space="preserve">* Veeduría y control a los recursos públicos
* Cumplimiento normativo para evitar sanciones. </v>
      </c>
      <c r="DF69" s="149" t="str">
        <f t="shared" si="151"/>
        <v>* Constancia de la validación de la información contable. 
* Información de la auditoria - Control interno y Contraloría.</v>
      </c>
      <c r="DG69" s="149" t="str">
        <f t="shared" si="151"/>
        <v>Suma</v>
      </c>
      <c r="DH69" s="149">
        <f t="shared" si="129"/>
        <v>1</v>
      </c>
      <c r="DI69" s="149">
        <f t="shared" si="130"/>
        <v>0</v>
      </c>
      <c r="DJ69" s="149">
        <f t="shared" si="131"/>
        <v>0</v>
      </c>
      <c r="DK69" s="149">
        <f t="shared" si="132"/>
        <v>0</v>
      </c>
      <c r="DL69" s="149">
        <f t="shared" si="133"/>
        <v>1</v>
      </c>
      <c r="DM69" s="149">
        <f t="shared" si="134"/>
        <v>0</v>
      </c>
      <c r="DN69" s="149">
        <f t="shared" si="135"/>
        <v>0</v>
      </c>
      <c r="DO69" s="149">
        <f t="shared" si="158"/>
        <v>0</v>
      </c>
      <c r="DP69" s="149">
        <f t="shared" si="158"/>
        <v>0</v>
      </c>
      <c r="DQ69" s="149">
        <f t="shared" si="158"/>
        <v>0</v>
      </c>
      <c r="DR69" s="149">
        <f t="shared" si="158"/>
        <v>1</v>
      </c>
      <c r="DS69" s="149">
        <f t="shared" si="158"/>
        <v>0</v>
      </c>
      <c r="DT69" s="149">
        <f t="shared" si="158"/>
        <v>0</v>
      </c>
      <c r="DU69" s="149">
        <f t="shared" si="152"/>
        <v>1</v>
      </c>
      <c r="DV69" s="149">
        <f t="shared" si="152"/>
        <v>0</v>
      </c>
      <c r="DW69" s="149">
        <f t="shared" si="152"/>
        <v>0</v>
      </c>
      <c r="DX69" s="149" t="str">
        <f t="shared" si="152"/>
        <v>N.A.</v>
      </c>
      <c r="DY69" s="149" t="str">
        <f t="shared" si="152"/>
        <v>N.A.</v>
      </c>
      <c r="DZ69" s="149" t="str">
        <f t="shared" si="152"/>
        <v>N.A.</v>
      </c>
      <c r="EA69" s="149">
        <f t="shared" si="152"/>
        <v>0</v>
      </c>
      <c r="EB69" s="149">
        <f t="shared" si="152"/>
        <v>0</v>
      </c>
      <c r="EC69" s="149" t="str">
        <f t="shared" si="152"/>
        <v>N.A.</v>
      </c>
      <c r="ED69" s="149" t="str">
        <f t="shared" si="152"/>
        <v>N.A.</v>
      </c>
      <c r="EE69" s="149" t="str">
        <f t="shared" si="152"/>
        <v>N.A.</v>
      </c>
      <c r="EF69" s="149">
        <f t="shared" si="152"/>
        <v>0</v>
      </c>
      <c r="EG69" s="149">
        <f t="shared" si="152"/>
        <v>0</v>
      </c>
      <c r="EH69" s="149" t="str">
        <f t="shared" si="152"/>
        <v>N.A.</v>
      </c>
      <c r="EI69" s="149" t="str">
        <f t="shared" si="152"/>
        <v>N.A.</v>
      </c>
      <c r="EJ69" s="149" t="str">
        <f t="shared" si="152"/>
        <v>N.A.</v>
      </c>
      <c r="EK69" s="149">
        <f t="shared" si="153"/>
        <v>1</v>
      </c>
      <c r="EL69" s="149">
        <f t="shared" si="153"/>
        <v>0</v>
      </c>
      <c r="EM69" s="149" t="str">
        <f t="shared" si="153"/>
        <v>Se presenta el estado financiero del primer trimestre, reflejando la operatividad de la entidad. Atendiendo las nuevas directrices por el cambio de administración</v>
      </c>
      <c r="EN69" s="149" t="str">
        <f t="shared" si="153"/>
        <v>N.A.</v>
      </c>
      <c r="EO69" s="149" t="str">
        <f t="shared" si="153"/>
        <v>Difusión ante la Ciudadanía de los estados financieros de la Secretaría General de la Alcaldía Mayor de Bogotá.</v>
      </c>
      <c r="EP69" s="149">
        <f t="shared" si="153"/>
        <v>0</v>
      </c>
      <c r="EQ69" s="149">
        <f t="shared" si="153"/>
        <v>0</v>
      </c>
      <c r="ER69" s="149" t="str">
        <f t="shared" si="153"/>
        <v>N.A.</v>
      </c>
      <c r="ES69" s="149" t="str">
        <f t="shared" si="153"/>
        <v>N.A.</v>
      </c>
      <c r="ET69" s="149" t="str">
        <f t="shared" si="153"/>
        <v>N.A.</v>
      </c>
      <c r="EU69" s="149">
        <f t="shared" si="125"/>
        <v>0</v>
      </c>
      <c r="EV69" s="149">
        <f t="shared" si="125"/>
        <v>0</v>
      </c>
      <c r="EW69" s="149" t="str">
        <f t="shared" si="125"/>
        <v>N.A.</v>
      </c>
      <c r="EX69" s="149" t="str">
        <f t="shared" si="125"/>
        <v>N.A.</v>
      </c>
      <c r="EY69" s="149" t="str">
        <f t="shared" si="125"/>
        <v>N.A.</v>
      </c>
      <c r="EZ69" s="149">
        <f t="shared" si="153"/>
        <v>1</v>
      </c>
      <c r="FA69" s="149">
        <f t="shared" si="153"/>
        <v>0</v>
      </c>
      <c r="FB69" s="149">
        <f t="shared" si="153"/>
        <v>0</v>
      </c>
      <c r="FC69" s="149">
        <f t="shared" si="153"/>
        <v>0</v>
      </c>
      <c r="FD69" s="149">
        <f t="shared" si="153"/>
        <v>0</v>
      </c>
      <c r="FE69" s="149">
        <f t="shared" si="153"/>
        <v>0</v>
      </c>
      <c r="FF69" s="149">
        <f t="shared" si="154"/>
        <v>0</v>
      </c>
      <c r="FG69" s="149">
        <f t="shared" si="154"/>
        <v>0</v>
      </c>
      <c r="FH69" s="149">
        <f t="shared" si="154"/>
        <v>0</v>
      </c>
      <c r="FI69" s="149">
        <f t="shared" si="154"/>
        <v>0</v>
      </c>
      <c r="FJ69" s="149">
        <f t="shared" si="154"/>
        <v>0</v>
      </c>
      <c r="FK69" s="149">
        <f t="shared" si="154"/>
        <v>0</v>
      </c>
      <c r="FL69" s="149">
        <f t="shared" si="154"/>
        <v>0</v>
      </c>
      <c r="FM69" s="149">
        <f t="shared" si="154"/>
        <v>0</v>
      </c>
      <c r="FN69" s="149">
        <f t="shared" si="154"/>
        <v>0</v>
      </c>
      <c r="FO69" s="149">
        <f t="shared" si="154"/>
        <v>0</v>
      </c>
      <c r="FP69" s="149">
        <f t="shared" si="154"/>
        <v>0</v>
      </c>
      <c r="FQ69" s="149">
        <f t="shared" si="154"/>
        <v>0</v>
      </c>
      <c r="FR69" s="149">
        <f t="shared" si="154"/>
        <v>0</v>
      </c>
      <c r="FS69" s="149">
        <f t="shared" si="154"/>
        <v>0</v>
      </c>
      <c r="FT69" s="149">
        <f t="shared" si="154"/>
        <v>0</v>
      </c>
      <c r="FU69" s="149">
        <f t="shared" si="154"/>
        <v>0</v>
      </c>
      <c r="FV69" s="149">
        <f t="shared" si="155"/>
        <v>0</v>
      </c>
      <c r="FW69" s="149">
        <f t="shared" si="155"/>
        <v>0</v>
      </c>
      <c r="FX69" s="149">
        <f t="shared" si="155"/>
        <v>0</v>
      </c>
      <c r="FY69" s="149">
        <f t="shared" si="155"/>
        <v>0</v>
      </c>
      <c r="FZ69" s="149">
        <f t="shared" si="155"/>
        <v>0</v>
      </c>
      <c r="GA69" s="149">
        <f t="shared" si="155"/>
        <v>0</v>
      </c>
      <c r="GB69" s="149">
        <f t="shared" si="155"/>
        <v>0</v>
      </c>
      <c r="GC69" s="149">
        <f t="shared" si="155"/>
        <v>0</v>
      </c>
      <c r="GD69" s="149">
        <f t="shared" si="155"/>
        <v>0</v>
      </c>
      <c r="GE69" s="149">
        <f t="shared" si="155"/>
        <v>0</v>
      </c>
      <c r="GF69" s="149">
        <f t="shared" si="136"/>
        <v>0</v>
      </c>
      <c r="GG69" s="149">
        <f t="shared" si="137"/>
        <v>0</v>
      </c>
      <c r="GH69" s="149">
        <f t="shared" si="138"/>
        <v>0</v>
      </c>
      <c r="GI69" s="149">
        <f t="shared" si="139"/>
        <v>1</v>
      </c>
      <c r="GJ69" s="149">
        <f t="shared" si="140"/>
        <v>0</v>
      </c>
      <c r="GK69" s="149">
        <f t="shared" si="141"/>
        <v>1</v>
      </c>
      <c r="GL69" s="149">
        <f t="shared" si="142"/>
        <v>0</v>
      </c>
      <c r="GM69" s="149">
        <f t="shared" si="143"/>
        <v>0</v>
      </c>
      <c r="GN69" s="149">
        <f t="shared" si="144"/>
        <v>0</v>
      </c>
      <c r="GO69" s="149">
        <f t="shared" si="145"/>
        <v>100</v>
      </c>
      <c r="GP69" s="149">
        <f t="shared" si="146"/>
        <v>0</v>
      </c>
      <c r="GQ69" s="149">
        <f t="shared" si="146"/>
        <v>0</v>
      </c>
      <c r="GR69" s="153">
        <f>+IF(DG69="Suma",SUM(GL69:GQ69),AVERAGE(GL69:GQ69))</f>
        <v>100</v>
      </c>
      <c r="GS69" s="149" t="str">
        <f t="shared" si="156"/>
        <v>No Programó</v>
      </c>
      <c r="GT69" s="149" t="str">
        <f>+IF(OR($A69=52,$A69=124),1,IFERROR(IF($X69="Creciente",IF($AB69="Número",SUM($GL69:GM69)/SUM($DO69:DP69)*($AX69-$AW69),SUM($GL69:GM69)/SUM($DO69:DP69))*($AX69-$AW69),IF($DG69="Creciente",GM69*GM69/GM69,IF(AND($DG69="Constante",$AB69="Porcentaje"),AVERAGEIF($GL69:GM69,"&lt;&gt;0")/AVERAGEIF($DO69:DP69,"&lt;&gt;0")*100,SUM($GL69:GM69)/SUM($DO69:DP69)*$DU69))),GS69))</f>
        <v>No Programó</v>
      </c>
      <c r="GU69" s="149" t="str">
        <f>+IF(OR($A69=52,$A69=124),1,IFERROR(IF($X69="Creciente",IF($AB69="Número",SUM($GL69:GN69)/SUM($DO69:DQ69)*($AX69-$AW69),SUM($GL69:GN69)/SUM($DO69:DQ69))*($AX69-$AW69),IF($DG69="Creciente",GN69*GN69/GN69,IF(AND($DG69="Constante",$AB69="Porcentaje"),AVERAGEIF($GL69:GN69,"&lt;&gt;0")/AVERAGEIF($DO69:DQ69,"&lt;&gt;0")*100,SUM($GL69:GN69)/SUM($DO69:DQ69)*$DU69))),GT69))</f>
        <v>No Programó</v>
      </c>
      <c r="GV69" s="149">
        <f>+IF(OR($A69=52,$A69=124),1,IFERROR(IF($X69="Creciente",IF($AB69="Número",SUM($GL69:GO69)/SUM($DO69:DR69)*($AX69-$AW69),SUM($GL69:GO69)/SUM($DO69:DR69))*($AX69-$AW69),IF($DG69="Creciente",GO69*GO69/GO69,IF(AND($DG69="Constante",$AB69="Porcentaje"),AVERAGEIF($GL69:GO69,"&lt;&gt;0")/AVERAGEIF($DO69:DR69,"&lt;&gt;0")*100,SUM($GL69:GO69)/SUM($DO69:DR69)*$DU69))),GU69))</f>
        <v>100</v>
      </c>
      <c r="GW69" s="149">
        <f>+IF(OR($A69=52,$A69=124),1,IFERROR(IF($X69="Creciente",IF($AB69="Número",SUM($GL69:GP69)/SUM($DO69:DS69)*($AX69-$AW69),SUM($GL69:GP69)/SUM($DO69:DS69))*($AX69-$AW69),IF($DG69="Creciente",GP69*GP69/GP69,IF(AND($DG69="Constante",$AB69="Porcentaje"),AVERAGEIF($GL69:GP69,"&lt;&gt;0")/AVERAGEIF($DO69:DS69,"&lt;&gt;0")*100,SUM($GL69:GP69)/SUM($DO69:DS69)*$DU69))),GV69))</f>
        <v>100</v>
      </c>
      <c r="GX69" s="149">
        <f>+IF(OR($A69=52,$A69=124),1,IFERROR(IF($X69="Creciente",IF($AB69="Número",SUM($GL69:GQ69)/SUM($DO69:DT69)*($AX69-$AW69),SUM($GL69:GQ69)/SUM($DO69:DT69))*($AX69-$AW69),IF($DG69="Creciente",GQ69*GQ69/GQ69,IF(AND($DG69="Constante",$AB69="Porcentaje"),AVERAGEIF($GL69:GQ69,"&lt;&gt;0")/AVERAGEIF($DO69:DT69,"&lt;&gt;0")*100,SUM($GL69:GQ69)/SUM($DO69:DT69)*$DU69))),GW69))</f>
        <v>100</v>
      </c>
      <c r="GY69" s="149">
        <f t="shared" si="147"/>
        <v>0</v>
      </c>
      <c r="GZ69" s="149">
        <f t="shared" si="148"/>
        <v>0</v>
      </c>
      <c r="HA69" s="149" t="str">
        <f t="shared" si="149"/>
        <v xml:space="preserve">* Veeduría y control a los recursos públicos
* Cumplimiento normativo para evitar sanciones. </v>
      </c>
      <c r="HB69" s="149" t="str">
        <f t="shared" si="150"/>
        <v>* Constancia de la validación de la información contable. 
* Información de la auditoria - Control interno y Contraloría.</v>
      </c>
      <c r="HC69" s="149" t="str">
        <f t="shared" si="127"/>
        <v>Cumple</v>
      </c>
      <c r="HD69" s="149" t="str">
        <f t="shared" si="127"/>
        <v>Cumplido</v>
      </c>
      <c r="HE69" s="149" t="str">
        <f t="shared" si="127"/>
        <v>Adecuado</v>
      </c>
      <c r="HF69" s="149" t="str">
        <f t="shared" si="127"/>
        <v>Coherente</v>
      </c>
      <c r="HG69" s="149" t="str">
        <f t="shared" si="127"/>
        <v>Concuerda</v>
      </c>
      <c r="HH69" s="149" t="str">
        <f t="shared" si="127"/>
        <v>Concuerda</v>
      </c>
      <c r="HI69" s="149" t="str">
        <f t="shared" si="127"/>
        <v>Relación directa</v>
      </c>
      <c r="HJ69" s="149" t="str">
        <f t="shared" si="127"/>
        <v>Adecuado</v>
      </c>
      <c r="HK69" s="149" t="str">
        <f t="shared" si="127"/>
        <v>Oportuna</v>
      </c>
      <c r="HL69" s="149" t="str">
        <f t="shared" si="127"/>
        <v>Sin observaciones.</v>
      </c>
      <c r="HM69" s="149" t="str">
        <f t="shared" si="128"/>
        <v>Cesar Arcos</v>
      </c>
      <c r="HN69" s="149" t="str">
        <f t="shared" si="128"/>
        <v>No aplica</v>
      </c>
      <c r="HO69" s="149" t="str">
        <f t="shared" si="128"/>
        <v>No programó</v>
      </c>
      <c r="HP69" s="149" t="str">
        <f t="shared" si="128"/>
        <v>No aplica</v>
      </c>
      <c r="HQ69" s="149" t="str">
        <f t="shared" si="128"/>
        <v>No aplica</v>
      </c>
      <c r="HR69" s="149" t="str">
        <f t="shared" si="128"/>
        <v>No aplica</v>
      </c>
      <c r="HS69" s="149" t="str">
        <f t="shared" si="128"/>
        <v>No aplica</v>
      </c>
      <c r="HT69" s="149" t="str">
        <f t="shared" si="128"/>
        <v>No aplica</v>
      </c>
      <c r="HU69" s="149" t="str">
        <f t="shared" si="128"/>
        <v>No aplica</v>
      </c>
      <c r="HV69" s="149" t="str">
        <f t="shared" si="128"/>
        <v>Oportuna</v>
      </c>
      <c r="HW69" s="149" t="str">
        <f t="shared" si="128"/>
        <v>Ninguna</v>
      </c>
      <c r="HX69" s="149" t="str">
        <f t="shared" si="128"/>
        <v>Cesar Arcos</v>
      </c>
    </row>
    <row r="70" spans="1:232" x14ac:dyDescent="0.3">
      <c r="AL70" s="149"/>
      <c r="AX70" s="212"/>
      <c r="DB70" s="149"/>
    </row>
    <row r="71" spans="1:232" x14ac:dyDescent="0.3">
      <c r="DB71" s="149"/>
    </row>
    <row r="72" spans="1:232" x14ac:dyDescent="0.3">
      <c r="DB72" s="149"/>
    </row>
  </sheetData>
  <sheetProtection formatCells="0" formatColumns="0" formatRows="0" autoFilter="0"/>
  <conditionalFormatting sqref="Q45">
    <cfRule type="duplicateValues" dxfId="43" priority="20"/>
  </conditionalFormatting>
  <conditionalFormatting sqref="R45">
    <cfRule type="duplicateValues" dxfId="42" priority="21"/>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25" id="{B62D1F54-6AAE-446C-BA39-6CD827B9C100}">
            <xm:f>$S28='C:\Users\FAMILIA BARRETO\Downloads\[Validación ACDVPR 2020-04-27.xlsx]Hoja2'!#REF!</xm:f>
            <x14:dxf>
              <font>
                <color theme="1" tint="0.499984740745262"/>
              </font>
              <fill>
                <patternFill>
                  <bgColor theme="1" tint="0.499984740745262"/>
                </patternFill>
              </fill>
            </x14:dxf>
          </x14:cfRule>
          <xm:sqref>AL28:AL31</xm:sqref>
        </x14:conditionalFormatting>
        <x14:conditionalFormatting xmlns:xm="http://schemas.microsoft.com/office/excel/2006/main">
          <x14:cfRule type="expression" priority="23" id="{E578B81F-913B-4446-9590-A2CBA93BFD58}">
            <xm:f>$S35='C:\Users\FAMILIA BARRETO\Downloads\[Validación DDI_SDI 2020-04-29.xlsx]Hoja2'!#REF!</xm:f>
            <x14:dxf>
              <font>
                <color theme="1" tint="0.499984740745262"/>
              </font>
              <fill>
                <patternFill>
                  <bgColor theme="1" tint="0.499984740745262"/>
                </patternFill>
              </fill>
            </x14:dxf>
          </x14:cfRule>
          <xm:sqref>AL35</xm:sqref>
        </x14:conditionalFormatting>
        <x14:conditionalFormatting xmlns:xm="http://schemas.microsoft.com/office/excel/2006/main">
          <x14:cfRule type="expression" priority="17" id="{30CC263B-D4FD-4456-B1E5-96605EA24080}">
            <xm:f>$S56='C:\Users\Andrea\Downloads\[Formulación de indicadores de procesos 2020 DAF.xlsx]Hoja2'!#REF!</xm:f>
            <x14:dxf>
              <font>
                <color theme="1" tint="0.499984740745262"/>
              </font>
              <fill>
                <patternFill>
                  <bgColor theme="1" tint="0.499984740745262"/>
                </patternFill>
              </fill>
            </x14:dxf>
          </x14:cfRule>
          <xm:sqref>AL56</xm:sqref>
        </x14:conditionalFormatting>
        <x14:conditionalFormatting xmlns:xm="http://schemas.microsoft.com/office/excel/2006/main">
          <x14:cfRule type="expression" priority="16" id="{3AF48432-5A63-4767-9931-AED79192DD3F}">
            <xm:f>$S57='C:\Users\Andrea\Downloads\[Formulación de indicadores de procesos 2020 DAF.xlsx]Hoja2'!#REF!</xm:f>
            <x14:dxf>
              <font>
                <color theme="1" tint="0.499984740745262"/>
              </font>
              <fill>
                <patternFill>
                  <bgColor theme="1" tint="0.499984740745262"/>
                </patternFill>
              </fill>
            </x14:dxf>
          </x14:cfRule>
          <xm:sqref>AL57</xm:sqref>
        </x14:conditionalFormatting>
        <x14:conditionalFormatting xmlns:xm="http://schemas.microsoft.com/office/excel/2006/main">
          <x14:cfRule type="expression" priority="15" id="{E2F842E9-C476-458B-856C-1E8FFE038A91}">
            <xm:f>$S60='C:\Users\Andrea\Downloads\[Formulación de indicadores de procesos 2020 DAF.xlsx]Hoja2'!#REF!</xm:f>
            <x14:dxf>
              <font>
                <color theme="1" tint="0.499984740745262"/>
              </font>
              <fill>
                <patternFill>
                  <bgColor theme="1" tint="0.499984740745262"/>
                </patternFill>
              </fill>
            </x14:dxf>
          </x14:cfRule>
          <xm:sqref>AL60</xm:sqref>
        </x14:conditionalFormatting>
        <x14:conditionalFormatting xmlns:xm="http://schemas.microsoft.com/office/excel/2006/main">
          <x14:cfRule type="expression" priority="14" id="{611EF8B2-F167-4798-8C60-D4CDF4629BFA}">
            <xm:f>$S61='C:\Users\Andrea\Downloads\[Formulación de indicadores de procesos 2020 DAF.xlsx]Hoja2'!#REF!</xm:f>
            <x14:dxf>
              <font>
                <color theme="1" tint="0.499984740745262"/>
              </font>
              <fill>
                <patternFill>
                  <bgColor theme="1" tint="0.499984740745262"/>
                </patternFill>
              </fill>
            </x14:dxf>
          </x14:cfRule>
          <xm:sqref>AL61</xm:sqref>
        </x14:conditionalFormatting>
        <x14:conditionalFormatting xmlns:xm="http://schemas.microsoft.com/office/excel/2006/main">
          <x14:cfRule type="expression" priority="13" id="{7C7EF5CE-9F91-430D-AC33-3D1A8B96DD57}">
            <xm:f>$S62='C:\Users\Andrea\Downloads\[Formulación de indicadores de procesos 2020 DAF.xlsx]Hoja2'!#REF!</xm:f>
            <x14:dxf>
              <font>
                <color theme="1" tint="0.499984740745262"/>
              </font>
              <fill>
                <patternFill>
                  <bgColor theme="1" tint="0.499984740745262"/>
                </patternFill>
              </fill>
            </x14:dxf>
          </x14:cfRule>
          <xm:sqref>AL62</xm:sqref>
        </x14:conditionalFormatting>
        <x14:conditionalFormatting xmlns:xm="http://schemas.microsoft.com/office/excel/2006/main">
          <x14:cfRule type="expression" priority="12" id="{D48508F3-5C09-4107-8D5D-7A236AE0FDA1}">
            <xm:f>$S63='C:\Users\Andrea\Downloads\[Formulación de indicadores de procesos 2020 DAF.xlsx]Hoja2'!#REF!</xm:f>
            <x14:dxf>
              <font>
                <color theme="1" tint="0.499984740745262"/>
              </font>
              <fill>
                <patternFill>
                  <bgColor theme="1" tint="0.499984740745262"/>
                </patternFill>
              </fill>
            </x14:dxf>
          </x14:cfRule>
          <xm:sqref>AL63</xm:sqref>
        </x14:conditionalFormatting>
        <x14:conditionalFormatting xmlns:xm="http://schemas.microsoft.com/office/excel/2006/main">
          <x14:cfRule type="expression" priority="11" id="{AF4B3D09-6EBE-47EA-8612-8AF5410A6327}">
            <xm:f>$S65='C:\Users\Andrea\Downloads\[Formulación de indicadores de procesos 2020 DAF.xlsx]Hoja2'!#REF!</xm:f>
            <x14:dxf>
              <font>
                <color theme="1" tint="0.499984740745262"/>
              </font>
              <fill>
                <patternFill>
                  <bgColor theme="1" tint="0.499984740745262"/>
                </patternFill>
              </fill>
            </x14:dxf>
          </x14:cfRule>
          <xm:sqref>AL65:AL68</xm:sqref>
        </x14:conditionalFormatting>
        <x14:conditionalFormatting xmlns:xm="http://schemas.microsoft.com/office/excel/2006/main">
          <x14:cfRule type="expression" priority="4" id="{FBA406D7-EA9D-47F4-B39B-50633C43EFEA}">
            <xm:f>$S65='C:\Users\Andrea\Downloads\[Formulación de indicadores de procesos 2020 DAF.xlsx]Hoja2'!#REF!</xm:f>
            <x14:dxf>
              <font>
                <color theme="1" tint="0.499984740745262"/>
              </font>
              <fill>
                <patternFill>
                  <bgColor theme="1" tint="0.499984740745262"/>
                </patternFill>
              </fill>
            </x14:dxf>
          </x14:cfRule>
          <xm:sqref>AX65:AX68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A1:M38"/>
  <sheetViews>
    <sheetView showGridLines="0" zoomScale="85" zoomScaleNormal="85" workbookViewId="0">
      <selection activeCell="D10" sqref="D10:F10"/>
    </sheetView>
  </sheetViews>
  <sheetFormatPr baseColWidth="10" defaultColWidth="0" defaultRowHeight="14.4" zeroHeight="1" x14ac:dyDescent="0.3"/>
  <cols>
    <col min="1" max="1" width="3.88671875" style="15" customWidth="1"/>
    <col min="2" max="3" width="14.33203125" style="15" customWidth="1"/>
    <col min="4" max="4" width="15.88671875" style="15" customWidth="1"/>
    <col min="5" max="5" width="14.33203125" style="15" customWidth="1"/>
    <col min="6" max="6" width="21" style="15" customWidth="1"/>
    <col min="7" max="11" width="17.33203125" style="15" customWidth="1"/>
    <col min="12" max="12" width="14.33203125" style="15" customWidth="1"/>
    <col min="13" max="13" width="4.33203125" style="15" customWidth="1"/>
    <col min="14" max="16384" width="11.5546875" style="15" hidden="1"/>
  </cols>
  <sheetData>
    <row r="1" spans="2:12" ht="15" thickBot="1" x14ac:dyDescent="0.35"/>
    <row r="2" spans="2:12" ht="21" x14ac:dyDescent="0.3">
      <c r="B2" s="454"/>
      <c r="C2" s="455"/>
      <c r="D2" s="460" t="s">
        <v>1781</v>
      </c>
      <c r="E2" s="461"/>
      <c r="F2" s="461"/>
      <c r="G2" s="461"/>
      <c r="H2" s="461"/>
      <c r="I2" s="461"/>
      <c r="J2" s="461"/>
      <c r="K2" s="461"/>
      <c r="L2" s="462"/>
    </row>
    <row r="3" spans="2:12" ht="21" x14ac:dyDescent="0.3">
      <c r="B3" s="456"/>
      <c r="C3" s="457"/>
      <c r="D3" s="463" t="s">
        <v>1782</v>
      </c>
      <c r="E3" s="464"/>
      <c r="F3" s="464"/>
      <c r="G3" s="464"/>
      <c r="H3" s="464"/>
      <c r="I3" s="464"/>
      <c r="J3" s="464"/>
      <c r="K3" s="464"/>
      <c r="L3" s="465"/>
    </row>
    <row r="4" spans="2:12" ht="21" x14ac:dyDescent="0.3">
      <c r="B4" s="456"/>
      <c r="C4" s="457"/>
      <c r="D4" s="463" t="s">
        <v>2</v>
      </c>
      <c r="E4" s="464"/>
      <c r="F4" s="464"/>
      <c r="G4" s="464"/>
      <c r="H4" s="464"/>
      <c r="I4" s="464"/>
      <c r="J4" s="464"/>
      <c r="K4" s="464"/>
      <c r="L4" s="465"/>
    </row>
    <row r="5" spans="2:12" ht="21.6" thickBot="1" x14ac:dyDescent="0.35">
      <c r="B5" s="458"/>
      <c r="C5" s="459"/>
      <c r="D5" s="466" t="s">
        <v>3</v>
      </c>
      <c r="E5" s="467"/>
      <c r="F5" s="467"/>
      <c r="G5" s="467"/>
      <c r="H5" s="467"/>
      <c r="I5" s="467"/>
      <c r="J5" s="467"/>
      <c r="K5" s="467"/>
      <c r="L5" s="468"/>
    </row>
    <row r="6" spans="2:12" ht="15" thickBot="1" x14ac:dyDescent="0.35">
      <c r="F6" s="429"/>
      <c r="G6" s="429"/>
      <c r="H6" s="429"/>
      <c r="I6" s="506" t="s">
        <v>1783</v>
      </c>
      <c r="J6" s="506"/>
      <c r="K6" s="507">
        <f ca="1">+NOW()</f>
        <v>44167.04470914352</v>
      </c>
      <c r="L6" s="507"/>
    </row>
    <row r="7" spans="2:12" ht="15.6" x14ac:dyDescent="0.3">
      <c r="B7" s="486" t="s">
        <v>1784</v>
      </c>
      <c r="C7" s="487"/>
      <c r="D7" s="487"/>
      <c r="E7" s="487"/>
      <c r="F7" s="487"/>
      <c r="G7" s="487"/>
      <c r="H7" s="487"/>
      <c r="I7" s="487"/>
      <c r="J7" s="487"/>
      <c r="K7" s="487"/>
      <c r="L7" s="488"/>
    </row>
    <row r="8" spans="2:12" x14ac:dyDescent="0.3">
      <c r="B8" s="508"/>
      <c r="C8" s="509"/>
      <c r="D8" s="509"/>
      <c r="E8" s="509"/>
      <c r="F8" s="509"/>
      <c r="G8" s="509"/>
      <c r="H8" s="509"/>
      <c r="I8" s="510"/>
      <c r="J8" s="425" t="s">
        <v>1785</v>
      </c>
      <c r="K8" s="480">
        <v>2020</v>
      </c>
      <c r="L8" s="481"/>
    </row>
    <row r="9" spans="2:12" ht="27.15" customHeight="1" x14ac:dyDescent="0.3">
      <c r="B9" s="470" t="s">
        <v>1020</v>
      </c>
      <c r="C9" s="471"/>
      <c r="D9" s="511" t="str">
        <f>+IFERROR(VLOOKUP($K$9,BD_metas!$A$5:$DC$524,MATCH($B$9,BD_metas!$A$5:$DC$5,0),0),"")</f>
        <v>Bogotá Mejor Para Todos</v>
      </c>
      <c r="E9" s="511"/>
      <c r="F9" s="511"/>
      <c r="G9" s="511"/>
      <c r="H9" s="511"/>
      <c r="I9" s="511"/>
      <c r="J9" s="428" t="s">
        <v>1786</v>
      </c>
      <c r="K9" s="501">
        <v>66</v>
      </c>
      <c r="L9" s="512">
        <v>66</v>
      </c>
    </row>
    <row r="10" spans="2:12" ht="42.6" customHeight="1" x14ac:dyDescent="0.3">
      <c r="B10" s="472" t="s">
        <v>326</v>
      </c>
      <c r="C10" s="473"/>
      <c r="D10" s="501" t="s">
        <v>183</v>
      </c>
      <c r="E10" s="501" t="s">
        <v>183</v>
      </c>
      <c r="F10" s="501" t="s">
        <v>183</v>
      </c>
      <c r="G10" s="428" t="s">
        <v>1021</v>
      </c>
      <c r="H10" s="484" t="str">
        <f>+IFERROR(VLOOKUP($K$9,BD_metas!$A$5:$DC$524,MATCH($G$10,BD_metas!$A$5:$DC$5,0),0),"")</f>
        <v>Director Distrital de Calidad del Servicio</v>
      </c>
      <c r="I10" s="484"/>
      <c r="J10" s="428" t="s">
        <v>1022</v>
      </c>
      <c r="K10" s="484" t="str">
        <f>+IFERROR(VLOOKUP($K$9,BD_metas!$A$5:$DC$524,MATCH($J$10,BD_metas!$A$5:$DC$5,0),0),"")</f>
        <v>Dorían de Jesús Coquies Maestre</v>
      </c>
      <c r="L10" s="502"/>
    </row>
    <row r="11" spans="2:12" ht="15" thickBot="1" x14ac:dyDescent="0.35">
      <c r="B11" s="485"/>
      <c r="C11" s="485"/>
      <c r="D11" s="485"/>
      <c r="E11" s="485"/>
      <c r="F11" s="485"/>
      <c r="G11" s="485"/>
      <c r="H11" s="485"/>
      <c r="I11" s="485"/>
      <c r="J11" s="485"/>
      <c r="K11" s="485"/>
      <c r="L11" s="485"/>
    </row>
    <row r="12" spans="2:12" ht="15.6" x14ac:dyDescent="0.3">
      <c r="B12" s="486" t="s">
        <v>1787</v>
      </c>
      <c r="C12" s="487"/>
      <c r="D12" s="487"/>
      <c r="E12" s="487"/>
      <c r="F12" s="487"/>
      <c r="G12" s="487"/>
      <c r="H12" s="487"/>
      <c r="I12" s="487"/>
      <c r="J12" s="487"/>
      <c r="K12" s="487"/>
      <c r="L12" s="488"/>
    </row>
    <row r="13" spans="2:12" x14ac:dyDescent="0.3">
      <c r="B13" s="474"/>
      <c r="C13" s="475"/>
      <c r="D13" s="475"/>
      <c r="E13" s="475"/>
      <c r="F13" s="475"/>
      <c r="G13" s="475"/>
      <c r="H13" s="475"/>
      <c r="I13" s="475"/>
      <c r="J13" s="475"/>
      <c r="K13" s="475"/>
      <c r="L13" s="476"/>
    </row>
    <row r="14" spans="2:12" ht="40.950000000000003" customHeight="1" x14ac:dyDescent="0.3">
      <c r="B14" s="470" t="s">
        <v>1023</v>
      </c>
      <c r="C14" s="471"/>
      <c r="D14" s="1" t="str">
        <f>+IFERROR(VLOOKUP($K$9,BD_metas!$A$5:$DC$524,MATCH($B$14,BD_metas!$A$5:$DC$5,0),0),"")</f>
        <v>P2 -  SERVICIO AL CIUDADANO</v>
      </c>
      <c r="E14" s="425" t="s">
        <v>1024</v>
      </c>
      <c r="F14" s="503" t="str">
        <f>+IFERROR(VLOOKUP($K$9,BD_metas!$A$5:$DC$524,MATCH($E$14,BD_metas!$A$5:$DC$5,0),0),"")</f>
        <v xml:space="preserve">P2O1 Mejorar la experiencia de la ciudadanía, con enfoque diferencial y preferencial, en su relación con la Administración Distrital </v>
      </c>
      <c r="G14" s="503"/>
      <c r="H14" s="503"/>
      <c r="I14" s="425" t="s">
        <v>1025</v>
      </c>
      <c r="J14" s="503" t="str">
        <f>+IFERROR(VLOOKUP($K$9,BD_metas!$A$5:$DC$524,MATCH($I$14,BD_metas!$A$5:$DC$5,0),0),"")</f>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
      <c r="K14" s="503"/>
      <c r="L14" s="504"/>
    </row>
    <row r="15" spans="2:12" ht="24" customHeight="1" x14ac:dyDescent="0.3">
      <c r="B15" s="470" t="s">
        <v>1105</v>
      </c>
      <c r="C15" s="471"/>
      <c r="D15" s="503" t="str">
        <f>+IFERROR(VLOOKUP($K$9,BD_metas!$A$5:$DC$524,MATCH($B$15,BD_metas!$A$5:$DC$5,0),0),"")</f>
        <v xml:space="preserve">Plan de Acción, SGC, PROCESO: Gestión del Sistema Distrital de servicio a la ciudadanía, PAAC, </v>
      </c>
      <c r="E15" s="503"/>
      <c r="F15" s="503"/>
      <c r="G15" s="503"/>
      <c r="H15" s="503"/>
      <c r="I15" s="503"/>
      <c r="J15" s="503"/>
      <c r="K15" s="503"/>
      <c r="L15" s="504"/>
    </row>
    <row r="16" spans="2:12" ht="24" customHeight="1" thickBot="1" x14ac:dyDescent="0.35">
      <c r="B16" s="499" t="s">
        <v>1788</v>
      </c>
      <c r="C16" s="500"/>
      <c r="D16" s="500"/>
      <c r="E16" s="428" t="s">
        <v>1789</v>
      </c>
      <c r="F16" s="491" t="str">
        <f>+IFERROR(VLOOKUP($K$9,BD_metas!$A$5:$DC$524,MATCH($E$16,BD_metas!$A$5:$DC$5,0),0),"")</f>
        <v>No Aplica</v>
      </c>
      <c r="G16" s="491"/>
      <c r="H16" s="491"/>
      <c r="I16" s="428" t="s">
        <v>1790</v>
      </c>
      <c r="J16" s="491" t="str">
        <f>+IFERROR(VLOOKUP($K$9,BD_metas!$A$5:$DC$524,MATCH($I$16,BD_metas!$A$5:$DC$5,0),0),"")</f>
        <v>No Aplica</v>
      </c>
      <c r="K16" s="491"/>
      <c r="L16" s="505"/>
    </row>
    <row r="17" spans="2:12" ht="15" thickBot="1" x14ac:dyDescent="0.35">
      <c r="B17" s="485"/>
      <c r="C17" s="485"/>
      <c r="D17" s="485"/>
      <c r="E17" s="485"/>
      <c r="F17" s="485"/>
      <c r="G17" s="485"/>
      <c r="H17" s="485"/>
      <c r="I17" s="485"/>
      <c r="J17" s="485"/>
      <c r="K17" s="485"/>
      <c r="L17" s="485"/>
    </row>
    <row r="18" spans="2:12" ht="15.6" x14ac:dyDescent="0.3">
      <c r="B18" s="486" t="s">
        <v>1791</v>
      </c>
      <c r="C18" s="487"/>
      <c r="D18" s="487"/>
      <c r="E18" s="487"/>
      <c r="F18" s="487"/>
      <c r="G18" s="487"/>
      <c r="H18" s="487"/>
      <c r="I18" s="487"/>
      <c r="J18" s="487"/>
      <c r="K18" s="487"/>
      <c r="L18" s="488"/>
    </row>
    <row r="19" spans="2:12" x14ac:dyDescent="0.3">
      <c r="B19" s="474"/>
      <c r="C19" s="475"/>
      <c r="D19" s="475"/>
      <c r="E19" s="475"/>
      <c r="F19" s="475"/>
      <c r="G19" s="475"/>
      <c r="H19" s="475"/>
      <c r="I19" s="475"/>
      <c r="J19" s="475"/>
      <c r="K19" s="475"/>
      <c r="L19" s="476"/>
    </row>
    <row r="20" spans="2:12" ht="26.4" customHeight="1" x14ac:dyDescent="0.3">
      <c r="B20" s="470" t="s">
        <v>1792</v>
      </c>
      <c r="C20" s="471"/>
      <c r="D20" s="480" t="str">
        <f>+IFERROR(VLOOKUP($K$9,BD_metas!$A$5:$DC$524,MATCH($B$20,BD_metas!$A$5:$DC$5,0),0),"")</f>
        <v xml:space="preserve"> Realizar monitoreos para la medición, evaluación y seguimiento  del servicio en la Red CADE, en los diferentes canales de interacción ciudadana de la Secretaría General y en otros puntos de la Administración Distrital </v>
      </c>
      <c r="E20" s="480"/>
      <c r="F20" s="480"/>
      <c r="G20" s="425" t="s">
        <v>541</v>
      </c>
      <c r="H20" s="477" t="str">
        <f>+IFERROR(VLOOKUP($K$9,BD_metas!$A$5:$DC$524,MATCH($G$20,BD_metas!$A$5:$DC$5,0),0),"")</f>
        <v>Monitoreos realizados para  evaluar la prestación del servicio en la Red CADE, en los diferentes canales de interacción ciudadana de la Secretaría General y en otros puntos de la Administración Distrital</v>
      </c>
      <c r="I20" s="478"/>
      <c r="J20" s="478"/>
      <c r="K20" s="478"/>
      <c r="L20" s="498"/>
    </row>
    <row r="21" spans="2:12" ht="181.95" customHeight="1" x14ac:dyDescent="0.3">
      <c r="B21" s="470" t="s">
        <v>1793</v>
      </c>
      <c r="C21" s="471"/>
      <c r="D21" s="477" t="str">
        <f>+IFERROR(VLOOKUP($K$9,bd,MATCH($B$21,bdfila,0),0),"")</f>
        <v>Mide el No de monitoreos realizados para evaluar la prestación del servicio en la Red CADE, en los diferentes canales de interacción ciudadana de la Secretaría General y en otros puntos de la Administración Distrital</v>
      </c>
      <c r="E21" s="478"/>
      <c r="F21" s="479"/>
      <c r="G21" s="425" t="s">
        <v>1132</v>
      </c>
      <c r="H21" s="477" t="str">
        <f>+IFERROR(VLOOKUP($K$9,bd,MATCH($G$21,bdfila,0),0),"")</f>
        <v xml:space="preserve">• Realizar monitoreo para la medición, evaluación y seguimiento  del servicio en la Red CADE, en los diferentes canales de interacción ciudadana de la Secretaria General y en otros puntos de la Administración Distrital.
</v>
      </c>
      <c r="I21" s="479"/>
      <c r="J21" s="425" t="s">
        <v>1133</v>
      </c>
      <c r="K21" s="480" t="str">
        <f>+IFERROR(VLOOKUP($K$9,bd,MATCH($J$21,bdfila,0),0),"")</f>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
      <c r="L21" s="481"/>
    </row>
    <row r="22" spans="2:12" ht="26.4" x14ac:dyDescent="0.3">
      <c r="B22" s="424" t="s">
        <v>1794</v>
      </c>
      <c r="C22" s="480">
        <f>+IFERROR(VLOOKUP($K$9,BD_metas!$A$5:$DC$524,MATCH($B$22,BD_metas!$A$5:$DC$5,0),0),"")</f>
        <v>2016</v>
      </c>
      <c r="D22" s="480"/>
      <c r="E22" s="425" t="s">
        <v>544</v>
      </c>
      <c r="F22" s="480" t="str">
        <f>+IFERROR(VLOOKUP($K$9,BD_metas!$A$5:$DC$524,MATCH($E$22,BD_metas!$A$5:$DC$5,0),0),"")</f>
        <v>Suma</v>
      </c>
      <c r="G22" s="480"/>
      <c r="H22" s="425" t="s">
        <v>1033</v>
      </c>
      <c r="I22" s="480" t="str">
        <f>+IFERROR(VLOOKUP($K$9,BD_metas!$A$5:$DC$524,MATCH($H$22,BD_metas!$A$5:$DC$5,0),0),"")</f>
        <v xml:space="preserve">Eficacia </v>
      </c>
      <c r="J22" s="480"/>
      <c r="K22" s="425" t="s">
        <v>1037</v>
      </c>
      <c r="L22" s="426">
        <f>+IFERROR(VLOOKUP($K$9,BD_metas!$A$5:$DC$524,MATCH($K$22,BD_metas!$A$5:$DC$5,0),0),"")</f>
        <v>2016</v>
      </c>
    </row>
    <row r="23" spans="2:12" ht="41.4" customHeight="1" thickBot="1" x14ac:dyDescent="0.35">
      <c r="B23" s="427" t="s">
        <v>1031</v>
      </c>
      <c r="C23" s="482" t="str">
        <f>+IFERROR(VLOOKUP($K$9,BD_metas!$A$5:$DC$524,MATCH($B$23,BD_metas!$A$5:$DC$5,0),0),"")</f>
        <v xml:space="preserve">Monitoreos de medición, evaluación y seguimiento  del servicio en la Red CADE, en los diferentes canales de interacción ciudadana de la Secretaría General y en otros puntos de la Administración Distrital.    </v>
      </c>
      <c r="D23" s="482"/>
      <c r="E23" s="428" t="s">
        <v>413</v>
      </c>
      <c r="F23" s="483" t="str">
        <f>+IFERROR(VLOOKUP($K$9,BD_metas!$A$5:$DC$524,MATCH($E$23,BD_metas!$A$5:$DC$5,0),0),"")</f>
        <v>Número</v>
      </c>
      <c r="G23" s="483"/>
      <c r="H23" s="428" t="s">
        <v>1034</v>
      </c>
      <c r="I23" s="484" t="str">
        <f>+IFERROR(VLOOKUP($K$9,BD_metas!$A$5:$DC$524,MATCH($H$23,BD_metas!$A$5:$DC$5,0),0),"")</f>
        <v>Producto</v>
      </c>
      <c r="J23" s="484"/>
      <c r="K23" s="428" t="s">
        <v>1036</v>
      </c>
      <c r="L23" s="2">
        <f>+IFERROR(VLOOKUP($K$9,BD_metas!$A$5:$DC$524,MATCH($K$23,BD_metas!$A$5:$DC$5,0),0),"")</f>
        <v>10</v>
      </c>
    </row>
    <row r="24" spans="2:12" ht="15" thickBot="1" x14ac:dyDescent="0.35">
      <c r="B24" s="485"/>
      <c r="C24" s="485"/>
      <c r="D24" s="485"/>
      <c r="E24" s="485"/>
      <c r="F24" s="485"/>
      <c r="G24" s="485"/>
      <c r="H24" s="485"/>
      <c r="I24" s="485"/>
      <c r="J24" s="485"/>
      <c r="K24" s="485"/>
      <c r="L24" s="485"/>
    </row>
    <row r="25" spans="2:12" ht="15.6" x14ac:dyDescent="0.3">
      <c r="B25" s="486" t="s">
        <v>1795</v>
      </c>
      <c r="C25" s="487"/>
      <c r="D25" s="487"/>
      <c r="E25" s="487"/>
      <c r="F25" s="487"/>
      <c r="G25" s="487"/>
      <c r="H25" s="487"/>
      <c r="I25" s="487"/>
      <c r="J25" s="487"/>
      <c r="K25" s="487"/>
      <c r="L25" s="488"/>
    </row>
    <row r="26" spans="2:12" x14ac:dyDescent="0.3">
      <c r="B26" s="474"/>
      <c r="C26" s="475"/>
      <c r="D26" s="475"/>
      <c r="E26" s="475"/>
      <c r="F26" s="475"/>
      <c r="G26" s="475"/>
      <c r="H26" s="475"/>
      <c r="I26" s="475"/>
      <c r="J26" s="475"/>
      <c r="K26" s="475"/>
      <c r="L26" s="476"/>
    </row>
    <row r="27" spans="2:12" ht="27.6" customHeight="1" x14ac:dyDescent="0.3">
      <c r="B27" s="492" t="s">
        <v>1028</v>
      </c>
      <c r="C27" s="493"/>
      <c r="D27" s="480" t="str">
        <f>+IFERROR(VLOOKUP($K$9,BD_metas!$A$5:$DC$524,MATCH($B$27,BD_metas!$A$5:$DC$5,0),0),"")</f>
        <v xml:space="preserve">  Sumatoria de monitoreos realizados     </v>
      </c>
      <c r="E27" s="480"/>
      <c r="F27" s="480"/>
      <c r="G27" s="480"/>
      <c r="H27" s="480"/>
      <c r="I27" s="480"/>
      <c r="J27" s="471" t="s">
        <v>1134</v>
      </c>
      <c r="K27" s="494" t="str">
        <f>+IFERROR(VLOOKUP($K$9,bd,MATCH($J$21,bdfila,0),0),"")</f>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
      <c r="L27" s="495"/>
    </row>
    <row r="28" spans="2:12" ht="65.25" customHeight="1" thickBot="1" x14ac:dyDescent="0.35">
      <c r="B28" s="427" t="s">
        <v>1029</v>
      </c>
      <c r="C28" s="484" t="str">
        <f>+IFERROR(VLOOKUP($K$9,BD_metas!$A$5:$DC$524,MATCH($B$28,BD_metas!$A$5:$DC$5,0),0),"")</f>
        <v>Monitoreos realizados</v>
      </c>
      <c r="D28" s="484"/>
      <c r="E28" s="484"/>
      <c r="F28" s="428" t="s">
        <v>1030</v>
      </c>
      <c r="G28" s="484">
        <f>+IFERROR(VLOOKUP($K$9,BD_metas!$A$5:$DC$524,MATCH($F$28,BD_metas!$A$5:$DC$5,0),0),"")</f>
        <v>0</v>
      </c>
      <c r="H28" s="484"/>
      <c r="I28" s="484"/>
      <c r="J28" s="473"/>
      <c r="K28" s="496"/>
      <c r="L28" s="497"/>
    </row>
    <row r="29" spans="2:12" ht="15" thickBot="1" x14ac:dyDescent="0.35">
      <c r="B29" s="485"/>
      <c r="C29" s="485"/>
      <c r="D29" s="485"/>
      <c r="E29" s="485"/>
      <c r="F29" s="485"/>
      <c r="G29" s="485"/>
      <c r="H29" s="485"/>
      <c r="I29" s="485"/>
      <c r="J29" s="485"/>
      <c r="K29" s="485"/>
      <c r="L29" s="485"/>
    </row>
    <row r="30" spans="2:12" ht="15.6" x14ac:dyDescent="0.3">
      <c r="B30" s="486" t="s">
        <v>1796</v>
      </c>
      <c r="C30" s="487"/>
      <c r="D30" s="487"/>
      <c r="E30" s="487"/>
      <c r="F30" s="487"/>
      <c r="G30" s="487"/>
      <c r="H30" s="487"/>
      <c r="I30" s="487"/>
      <c r="J30" s="487"/>
      <c r="K30" s="487"/>
      <c r="L30" s="488"/>
    </row>
    <row r="31" spans="2:12" x14ac:dyDescent="0.3">
      <c r="B31" s="489" t="s">
        <v>1797</v>
      </c>
      <c r="C31" s="490"/>
      <c r="D31" s="490"/>
      <c r="E31" s="6" t="s">
        <v>1798</v>
      </c>
      <c r="F31" s="6">
        <v>2016</v>
      </c>
      <c r="G31" s="6">
        <v>2017</v>
      </c>
      <c r="H31" s="6">
        <v>2018</v>
      </c>
      <c r="I31" s="6">
        <v>2019</v>
      </c>
      <c r="J31" s="6">
        <v>2020</v>
      </c>
      <c r="K31" s="6" t="s">
        <v>1799</v>
      </c>
      <c r="L31" s="3"/>
    </row>
    <row r="32" spans="2:12" x14ac:dyDescent="0.3">
      <c r="B32" s="470" t="s">
        <v>1792</v>
      </c>
      <c r="C32" s="471"/>
      <c r="D32" s="471"/>
      <c r="E32" s="4"/>
      <c r="F32" s="5">
        <f>+IFERROR(VLOOKUP($K$9,BD_metas!$A$5:$DC$524,MATCH($B32&amp;" "&amp;F$31,BD_metas!$A$5:$DC$5,0),0),"")</f>
        <v>10</v>
      </c>
      <c r="G32" s="5">
        <f>+IFERROR(VLOOKUP($K$9,BD_metas!$A$5:$DC$524,MATCH($B32&amp;" "&amp;G$31,BD_metas!$A$5:$DC$5,0),0),"")</f>
        <v>34</v>
      </c>
      <c r="H32" s="5">
        <f>+IFERROR(VLOOKUP($K$9,BD_metas!$A$5:$DC$524,MATCH($B32&amp;" "&amp;H$31,BD_metas!$A$5:$DC$5,0),0),"")</f>
        <v>100</v>
      </c>
      <c r="I32" s="5">
        <f>+IFERROR(VLOOKUP($K$9,BD_metas!$A$5:$DC$524,MATCH($B32&amp;" "&amp;I$31,BD_metas!$A$5:$DC$5,0),0),"")</f>
        <v>80</v>
      </c>
      <c r="J32" s="5">
        <f>+IFERROR(VLOOKUP($K$9,BD_metas!$A$5:$DC$524,MATCH($B32&amp;" "&amp;J$31,BD_metas!$A$5:$DC$5,0),0),"")</f>
        <v>21</v>
      </c>
      <c r="K32" s="5">
        <f>+IFERROR(VLOOKUP($K$9,BD_metas!$A$5:$DC$524,MATCH($B32&amp;" "&amp;K$31,BD_metas!$A$5:$DC$5,0),0),"")</f>
        <v>0</v>
      </c>
      <c r="L32" s="430"/>
    </row>
    <row r="33" spans="2:12" x14ac:dyDescent="0.3">
      <c r="B33" s="470" t="s">
        <v>1800</v>
      </c>
      <c r="C33" s="471"/>
      <c r="D33" s="471"/>
      <c r="E33" s="4"/>
      <c r="F33" s="5">
        <f>+IFERROR(VLOOKUP($K$9,BD_metas!$A$5:$DC$524,MATCH($B33&amp;" "&amp;F$31,BD_metas!$A$5:$DC$5,0),0),"")</f>
        <v>0</v>
      </c>
      <c r="G33" s="5">
        <f>+IFERROR(VLOOKUP($K$9,BD_metas!$A$5:$DC$524,MATCH($B33&amp;" "&amp;G$31,BD_metas!$A$5:$DC$5,0),0),"")</f>
        <v>0</v>
      </c>
      <c r="H33" s="5">
        <f>+IFERROR(VLOOKUP($K$9,BD_metas!$A$5:$DC$524,MATCH($B33&amp;" "&amp;H$31,BD_metas!$A$5:$DC$5,0),0),"")</f>
        <v>0</v>
      </c>
      <c r="I33" s="5">
        <f>+IFERROR(VLOOKUP($K$9,BD_metas!$A$5:$DC$524,MATCH($B33&amp;" "&amp;I$31,BD_metas!$A$5:$DC$5,0),0),"")</f>
        <v>0</v>
      </c>
      <c r="J33" s="5">
        <f>+IFERROR(VLOOKUP($K$9,BD_metas!$A$5:$DC$524,MATCH($B33&amp;" "&amp;J$31,BD_metas!$A$5:$DC$5,0),0),"")</f>
        <v>0</v>
      </c>
      <c r="K33" s="5">
        <f>+IFERROR(VLOOKUP($K$9,BD_metas!$A$5:$DC$524,MATCH($B33&amp;" "&amp;K$31,BD_metas!$A$5:$DC$5,0),0),"")</f>
        <v>0</v>
      </c>
      <c r="L33" s="430"/>
    </row>
    <row r="34" spans="2:12" x14ac:dyDescent="0.3">
      <c r="B34" s="470" t="s">
        <v>1801</v>
      </c>
      <c r="C34" s="471"/>
      <c r="D34" s="471"/>
      <c r="E34" s="4"/>
      <c r="F34" s="16" t="str">
        <f>+IFERROR(VLOOKUP($K$9,BD_metas!$A$5:$DC$524,MATCH($B34&amp;" "&amp;F$31,BD_metas!$A$5:$DC$5,0),0),"")</f>
        <v>No Aplica</v>
      </c>
      <c r="G34" s="16" t="str">
        <f>+IFERROR(VLOOKUP($K$9,BD_metas!$A$5:$DC$524,MATCH($B34&amp;" "&amp;G$31,BD_metas!$A$5:$DC$5,0),0),"")</f>
        <v>No Aplica</v>
      </c>
      <c r="H34" s="16" t="str">
        <f>+IFERROR(VLOOKUP($K$9,BD_metas!$A$5:$DC$524,MATCH($B34&amp;" "&amp;H$31,BD_metas!$A$5:$DC$5,0),0),"")</f>
        <v>No Aplica</v>
      </c>
      <c r="I34" s="16" t="str">
        <f>+IFERROR(VLOOKUP($K$9,BD_metas!$A$5:$DC$524,MATCH($B34&amp;" "&amp;I$31,BD_metas!$A$5:$DC$5,0),0),"")</f>
        <v>No Aplica</v>
      </c>
      <c r="J34" s="16" t="str">
        <f>+IFERROR(VLOOKUP($K$9,BD_metas!$A$5:$DC$524,MATCH($B34&amp;" "&amp;J$31,BD_metas!$A$5:$DC$5,0),0),"")</f>
        <v>No Aplica</v>
      </c>
      <c r="K34" s="16" t="str">
        <f>+IFERROR(VLOOKUP($K$9,BD_metas!$A$5:$DC$524,MATCH($B34&amp;" "&amp;K$31,BD_metas!$A$5:$DC$5,0),0),"")</f>
        <v>No Aplica</v>
      </c>
      <c r="L34" s="430"/>
    </row>
    <row r="35" spans="2:12" x14ac:dyDescent="0.3">
      <c r="B35" s="470" t="s">
        <v>1802</v>
      </c>
      <c r="C35" s="471"/>
      <c r="D35" s="471"/>
      <c r="E35" s="4"/>
      <c r="F35" s="16" t="str">
        <f>+IFERROR(VLOOKUP($K$9,BD_metas!$A$5:$DC$524,MATCH($B35&amp;" "&amp;F$31,BD_metas!$A$5:$DC$5,0),0),"")</f>
        <v>No Aplica</v>
      </c>
      <c r="G35" s="16" t="str">
        <f>+IFERROR(VLOOKUP($K$9,BD_metas!$A$5:$DC$524,MATCH($B35&amp;" "&amp;G$31,BD_metas!$A$5:$DC$5,0),0),"")</f>
        <v>No Aplica</v>
      </c>
      <c r="H35" s="16" t="str">
        <f>+IFERROR(VLOOKUP($K$9,BD_metas!$A$5:$DC$524,MATCH($B35&amp;" "&amp;H$31,BD_metas!$A$5:$DC$5,0),0),"")</f>
        <v>No Aplica</v>
      </c>
      <c r="I35" s="16" t="str">
        <f>+IFERROR(VLOOKUP($K$9,BD_metas!$A$5:$DC$524,MATCH($B35&amp;" "&amp;I$31,BD_metas!$A$5:$DC$5,0),0),"")</f>
        <v>No Aplica</v>
      </c>
      <c r="J35" s="16" t="str">
        <f>+IFERROR(VLOOKUP($K$9,BD_metas!$A$5:$DC$524,MATCH($B35&amp;" "&amp;J$31,BD_metas!$A$5:$DC$5,0),0),"")</f>
        <v>No Aplica</v>
      </c>
      <c r="K35" s="16" t="str">
        <f>+IFERROR(VLOOKUP($K$9,BD_metas!$A$5:$DC$524,MATCH($B35&amp;" "&amp;K$31,BD_metas!$A$5:$DC$5,0),0),"")</f>
        <v>No Aplica</v>
      </c>
      <c r="L35" s="430"/>
    </row>
    <row r="36" spans="2:12" ht="15" thickBot="1" x14ac:dyDescent="0.35">
      <c r="B36" s="472" t="s">
        <v>1803</v>
      </c>
      <c r="C36" s="473"/>
      <c r="D36" s="473"/>
      <c r="E36" s="7"/>
      <c r="F36" s="102" t="str">
        <f t="shared" ref="F36:K36" si="0">+IFERROR(F35/F34,"")</f>
        <v/>
      </c>
      <c r="G36" s="102" t="str">
        <f t="shared" si="0"/>
        <v/>
      </c>
      <c r="H36" s="102" t="str">
        <f t="shared" si="0"/>
        <v/>
      </c>
      <c r="I36" s="102" t="str">
        <f t="shared" si="0"/>
        <v/>
      </c>
      <c r="J36" s="102" t="str">
        <f t="shared" si="0"/>
        <v/>
      </c>
      <c r="K36" s="102" t="str">
        <f t="shared" si="0"/>
        <v/>
      </c>
      <c r="L36" s="8"/>
    </row>
    <row r="37" spans="2:12" x14ac:dyDescent="0.3"/>
    <row r="38" spans="2:12" x14ac:dyDescent="0.3"/>
  </sheetData>
  <sheetProtection algorithmName="SHA-512" hashValue="VnxaJ+TG8aI8MTRy000p+1Ko6j4k3Hhcc0cf6SkwNWVhEU0xdkB8F2Wa20b8rYIQdyVPGpsG79oaXel/bbYJoQ==" saltValue="iHfl70sFiG/eFcskSbujfw==" spinCount="100000" sheet="1" formatColumns="0" formatRows="0"/>
  <protectedRanges>
    <protectedRange algorithmName="SHA-512" hashValue="V07MQK65Zgv0l4aswNy5EfCxCZGABjasdg6rBXGu8TE7W2ereI2gIV0q7uHABUSZXG+RKfrz7ydKslm9iCwmpg==" saltValue="ivHhFB6Md1/+crpfkNFukw==" spinCount="100000" sqref="K9 D10" name="ElegirIndicador_5"/>
  </protectedRanges>
  <mergeCells count="61">
    <mergeCell ref="I6:J6"/>
    <mergeCell ref="K6:L6"/>
    <mergeCell ref="B33:D33"/>
    <mergeCell ref="B2:C5"/>
    <mergeCell ref="D2:L2"/>
    <mergeCell ref="D3:L3"/>
    <mergeCell ref="D4:L4"/>
    <mergeCell ref="D5:L5"/>
    <mergeCell ref="B12:L12"/>
    <mergeCell ref="B7:L7"/>
    <mergeCell ref="B8:I8"/>
    <mergeCell ref="K8:L8"/>
    <mergeCell ref="B9:C9"/>
    <mergeCell ref="D9:I9"/>
    <mergeCell ref="K9:L9"/>
    <mergeCell ref="B10:C10"/>
    <mergeCell ref="H20:L20"/>
    <mergeCell ref="B15:C15"/>
    <mergeCell ref="B16:D16"/>
    <mergeCell ref="D10:F10"/>
    <mergeCell ref="H10:I10"/>
    <mergeCell ref="K10:L10"/>
    <mergeCell ref="B11:L11"/>
    <mergeCell ref="B13:L13"/>
    <mergeCell ref="B14:C14"/>
    <mergeCell ref="F14:H14"/>
    <mergeCell ref="J14:L14"/>
    <mergeCell ref="J16:L16"/>
    <mergeCell ref="D15:L15"/>
    <mergeCell ref="B32:D32"/>
    <mergeCell ref="F16:H16"/>
    <mergeCell ref="B27:C27"/>
    <mergeCell ref="D27:I27"/>
    <mergeCell ref="J27:J28"/>
    <mergeCell ref="B29:L29"/>
    <mergeCell ref="K27:L28"/>
    <mergeCell ref="C28:E28"/>
    <mergeCell ref="G28:I28"/>
    <mergeCell ref="F22:G22"/>
    <mergeCell ref="I22:J22"/>
    <mergeCell ref="B17:L17"/>
    <mergeCell ref="B18:L18"/>
    <mergeCell ref="B19:L19"/>
    <mergeCell ref="B20:C20"/>
    <mergeCell ref="D20:F20"/>
    <mergeCell ref="B35:D35"/>
    <mergeCell ref="B36:D36"/>
    <mergeCell ref="B34:D34"/>
    <mergeCell ref="B26:L26"/>
    <mergeCell ref="B21:C21"/>
    <mergeCell ref="D21:F21"/>
    <mergeCell ref="H21:I21"/>
    <mergeCell ref="K21:L21"/>
    <mergeCell ref="C22:D22"/>
    <mergeCell ref="C23:D23"/>
    <mergeCell ref="F23:G23"/>
    <mergeCell ref="I23:J23"/>
    <mergeCell ref="B24:L24"/>
    <mergeCell ref="B25:L25"/>
    <mergeCell ref="B30:L30"/>
    <mergeCell ref="B31:D31"/>
  </mergeCells>
  <phoneticPr fontId="11" type="noConversion"/>
  <dataValidations count="2">
    <dataValidation type="list" allowBlank="1" showInputMessage="1" showErrorMessage="1" sqref="D10:F10" xr:uid="{00000000-0002-0000-0600-000000000000}">
      <formula1>dependencia</formula1>
    </dataValidation>
    <dataValidation type="list" allowBlank="1" showInputMessage="1" showErrorMessage="1" sqref="K9:L9" xr:uid="{00000000-0002-0000-0600-000001000000}">
      <formula1>INDIRECT(VLOOKUP($D$10,responsables,8,0))</formula1>
    </dataValidation>
  </dataValidations>
  <pageMargins left="1.0236220472440944" right="0.23622047244094491" top="0.15748031496062992" bottom="0.15748031496062992" header="0.31496062992125984" footer="0.11811023622047245"/>
  <pageSetup paperSize="9" scale="65" fitToWidth="0"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2C41B-9ABB-4AD8-B27B-0FB2D6B2D808}">
  <dimension ref="A1:O34"/>
  <sheetViews>
    <sheetView tabSelected="1" view="pageBreakPreview" zoomScale="85" zoomScaleNormal="85" zoomScaleSheetLayoutView="85" workbookViewId="0">
      <selection activeCell="Q14" sqref="Q14"/>
    </sheetView>
  </sheetViews>
  <sheetFormatPr baseColWidth="10" defaultRowHeight="14.4" x14ac:dyDescent="0.3"/>
  <cols>
    <col min="1" max="1" width="5.33203125" customWidth="1"/>
    <col min="15" max="15" width="6.109375" customWidth="1"/>
  </cols>
  <sheetData>
    <row r="1" spans="1:15" x14ac:dyDescent="0.3">
      <c r="A1" s="652"/>
      <c r="B1" s="652"/>
      <c r="C1" s="652"/>
      <c r="D1" s="652"/>
      <c r="E1" s="652"/>
      <c r="F1" s="652"/>
      <c r="G1" s="652"/>
      <c r="H1" s="652"/>
      <c r="I1" s="652"/>
      <c r="J1" s="652"/>
      <c r="K1" s="652"/>
      <c r="L1" s="652"/>
      <c r="M1" s="652"/>
      <c r="N1" s="652"/>
      <c r="O1" s="652"/>
    </row>
    <row r="2" spans="1:15" x14ac:dyDescent="0.3">
      <c r="A2" s="652"/>
      <c r="B2" s="653"/>
      <c r="C2" s="653"/>
      <c r="D2" s="653"/>
      <c r="E2" s="653"/>
      <c r="F2" s="653"/>
      <c r="G2" s="653"/>
      <c r="H2" s="653"/>
      <c r="I2" s="653"/>
      <c r="J2" s="653"/>
      <c r="K2" s="653"/>
      <c r="L2" s="653"/>
      <c r="M2" s="653"/>
      <c r="N2" s="653"/>
      <c r="O2" s="652"/>
    </row>
    <row r="3" spans="1:15" x14ac:dyDescent="0.3">
      <c r="A3" s="652"/>
      <c r="B3" s="653"/>
      <c r="C3" s="653"/>
      <c r="D3" s="653"/>
      <c r="E3" s="653"/>
      <c r="F3" s="653"/>
      <c r="G3" s="653"/>
      <c r="H3" s="653"/>
      <c r="I3" s="653"/>
      <c r="J3" s="653"/>
      <c r="K3" s="653"/>
      <c r="L3" s="653"/>
      <c r="M3" s="653"/>
      <c r="N3" s="653"/>
      <c r="O3" s="652"/>
    </row>
    <row r="4" spans="1:15" x14ac:dyDescent="0.3">
      <c r="A4" s="652"/>
      <c r="B4" s="653"/>
      <c r="C4" s="653"/>
      <c r="D4" s="653"/>
      <c r="E4" s="653"/>
      <c r="F4" s="653"/>
      <c r="G4" s="653"/>
      <c r="H4" s="653"/>
      <c r="I4" s="653"/>
      <c r="J4" s="653"/>
      <c r="K4" s="653"/>
      <c r="L4" s="653"/>
      <c r="M4" s="653"/>
      <c r="N4" s="653"/>
      <c r="O4" s="652"/>
    </row>
    <row r="5" spans="1:15" x14ac:dyDescent="0.3">
      <c r="A5" s="652"/>
      <c r="B5" s="653"/>
      <c r="C5" s="653"/>
      <c r="D5" s="653"/>
      <c r="E5" s="653"/>
      <c r="F5" s="653"/>
      <c r="G5" s="653"/>
      <c r="H5" s="653"/>
      <c r="I5" s="653"/>
      <c r="J5" s="653"/>
      <c r="K5" s="653"/>
      <c r="L5" s="653"/>
      <c r="M5" s="653"/>
      <c r="N5" s="653"/>
      <c r="O5" s="652"/>
    </row>
    <row r="6" spans="1:15" x14ac:dyDescent="0.3">
      <c r="A6" s="652"/>
      <c r="B6" s="653"/>
      <c r="C6" s="653"/>
      <c r="D6" s="653"/>
      <c r="E6" s="653"/>
      <c r="F6" s="653"/>
      <c r="G6" s="653"/>
      <c r="H6" s="653"/>
      <c r="I6" s="653"/>
      <c r="J6" s="653"/>
      <c r="K6" s="653"/>
      <c r="L6" s="653"/>
      <c r="M6" s="653"/>
      <c r="N6" s="653"/>
      <c r="O6" s="652"/>
    </row>
    <row r="7" spans="1:15" x14ac:dyDescent="0.3">
      <c r="A7" s="652"/>
      <c r="B7" s="653"/>
      <c r="C7" s="653"/>
      <c r="D7" s="653"/>
      <c r="E7" s="653"/>
      <c r="F7" s="653"/>
      <c r="G7" s="653"/>
      <c r="H7" s="653"/>
      <c r="I7" s="653"/>
      <c r="J7" s="653"/>
      <c r="K7" s="653"/>
      <c r="L7" s="653"/>
      <c r="M7" s="653"/>
      <c r="N7" s="653"/>
      <c r="O7" s="652"/>
    </row>
    <row r="8" spans="1:15" x14ac:dyDescent="0.3">
      <c r="A8" s="652"/>
      <c r="B8" s="653"/>
      <c r="C8" s="653"/>
      <c r="D8" s="653"/>
      <c r="E8" s="653"/>
      <c r="F8" s="653"/>
      <c r="G8" s="653"/>
      <c r="H8" s="653"/>
      <c r="I8" s="653"/>
      <c r="J8" s="653"/>
      <c r="K8" s="653"/>
      <c r="L8" s="653"/>
      <c r="M8" s="653"/>
      <c r="N8" s="653"/>
      <c r="O8" s="652"/>
    </row>
    <row r="9" spans="1:15" x14ac:dyDescent="0.3">
      <c r="A9" s="652"/>
      <c r="B9" s="653"/>
      <c r="C9" s="653"/>
      <c r="D9" s="653"/>
      <c r="E9" s="653"/>
      <c r="F9" s="653"/>
      <c r="G9" s="653"/>
      <c r="H9" s="653"/>
      <c r="I9" s="653"/>
      <c r="J9" s="653"/>
      <c r="K9" s="653"/>
      <c r="L9" s="653"/>
      <c r="M9" s="653"/>
      <c r="N9" s="653"/>
      <c r="O9" s="652"/>
    </row>
    <row r="10" spans="1:15" x14ac:dyDescent="0.3">
      <c r="A10" s="652"/>
      <c r="B10" s="653"/>
      <c r="C10" s="653"/>
      <c r="D10" s="653"/>
      <c r="E10" s="653"/>
      <c r="F10" s="653"/>
      <c r="G10" s="653"/>
      <c r="H10" s="653"/>
      <c r="I10" s="653"/>
      <c r="J10" s="653"/>
      <c r="K10" s="653"/>
      <c r="L10" s="653"/>
      <c r="M10" s="653"/>
      <c r="N10" s="653"/>
      <c r="O10" s="652"/>
    </row>
    <row r="11" spans="1:15" x14ac:dyDescent="0.3">
      <c r="A11" s="652"/>
      <c r="B11" s="653"/>
      <c r="C11" s="653"/>
      <c r="D11" s="653"/>
      <c r="E11" s="653"/>
      <c r="F11" s="653"/>
      <c r="G11" s="653"/>
      <c r="H11" s="653"/>
      <c r="I11" s="653"/>
      <c r="J11" s="653"/>
      <c r="K11" s="653"/>
      <c r="L11" s="653"/>
      <c r="M11" s="653"/>
      <c r="N11" s="653"/>
      <c r="O11" s="652"/>
    </row>
    <row r="12" spans="1:15" x14ac:dyDescent="0.3">
      <c r="A12" s="652"/>
      <c r="B12" s="653"/>
      <c r="C12" s="653"/>
      <c r="D12" s="653"/>
      <c r="E12" s="653"/>
      <c r="F12" s="653"/>
      <c r="G12" s="653"/>
      <c r="H12" s="653"/>
      <c r="I12" s="653"/>
      <c r="J12" s="653"/>
      <c r="K12" s="653"/>
      <c r="L12" s="653"/>
      <c r="M12" s="653"/>
      <c r="N12" s="653"/>
      <c r="O12" s="652"/>
    </row>
    <row r="13" spans="1:15" x14ac:dyDescent="0.3">
      <c r="A13" s="652"/>
      <c r="B13" s="653"/>
      <c r="C13" s="653"/>
      <c r="D13" s="653"/>
      <c r="E13" s="653"/>
      <c r="F13" s="653"/>
      <c r="G13" s="653"/>
      <c r="H13" s="653"/>
      <c r="I13" s="653"/>
      <c r="J13" s="653"/>
      <c r="K13" s="653"/>
      <c r="L13" s="653"/>
      <c r="M13" s="653"/>
      <c r="N13" s="653"/>
      <c r="O13" s="652"/>
    </row>
    <row r="14" spans="1:15" x14ac:dyDescent="0.3">
      <c r="A14" s="652"/>
      <c r="B14" s="653"/>
      <c r="C14" s="653"/>
      <c r="D14" s="653"/>
      <c r="E14" s="653"/>
      <c r="F14" s="653"/>
      <c r="G14" s="653"/>
      <c r="H14" s="653"/>
      <c r="I14" s="653"/>
      <c r="J14" s="653"/>
      <c r="K14" s="653"/>
      <c r="L14" s="653"/>
      <c r="M14" s="653"/>
      <c r="N14" s="653"/>
      <c r="O14" s="652"/>
    </row>
    <row r="15" spans="1:15" x14ac:dyDescent="0.3">
      <c r="A15" s="652"/>
      <c r="B15" s="653"/>
      <c r="C15" s="653"/>
      <c r="D15" s="653"/>
      <c r="E15" s="653"/>
      <c r="F15" s="653"/>
      <c r="G15" s="653"/>
      <c r="H15" s="653"/>
      <c r="I15" s="653"/>
      <c r="J15" s="653"/>
      <c r="K15" s="653"/>
      <c r="L15" s="653"/>
      <c r="M15" s="653"/>
      <c r="N15" s="653"/>
      <c r="O15" s="652"/>
    </row>
    <row r="16" spans="1:15" x14ac:dyDescent="0.3">
      <c r="A16" s="652"/>
      <c r="B16" s="653"/>
      <c r="C16" s="653"/>
      <c r="D16" s="653"/>
      <c r="E16" s="653"/>
      <c r="F16" s="653"/>
      <c r="G16" s="653"/>
      <c r="H16" s="653"/>
      <c r="I16" s="653"/>
      <c r="J16" s="653"/>
      <c r="K16" s="653"/>
      <c r="L16" s="653"/>
      <c r="M16" s="653"/>
      <c r="N16" s="653"/>
      <c r="O16" s="652"/>
    </row>
    <row r="17" spans="1:15" x14ac:dyDescent="0.3">
      <c r="A17" s="652"/>
      <c r="B17" s="653"/>
      <c r="C17" s="653"/>
      <c r="D17" s="653"/>
      <c r="E17" s="653"/>
      <c r="F17" s="653"/>
      <c r="G17" s="653"/>
      <c r="H17" s="653"/>
      <c r="I17" s="653"/>
      <c r="J17" s="653"/>
      <c r="K17" s="653"/>
      <c r="L17" s="653"/>
      <c r="M17" s="653"/>
      <c r="N17" s="653"/>
      <c r="O17" s="652"/>
    </row>
    <row r="18" spans="1:15" x14ac:dyDescent="0.3">
      <c r="A18" s="652"/>
      <c r="B18" s="653"/>
      <c r="C18" s="653"/>
      <c r="D18" s="653"/>
      <c r="E18" s="653"/>
      <c r="F18" s="653"/>
      <c r="G18" s="653"/>
      <c r="H18" s="653"/>
      <c r="I18" s="653"/>
      <c r="J18" s="653"/>
      <c r="K18" s="653"/>
      <c r="L18" s="653"/>
      <c r="M18" s="653"/>
      <c r="N18" s="653"/>
      <c r="O18" s="652"/>
    </row>
    <row r="19" spans="1:15" x14ac:dyDescent="0.3">
      <c r="A19" s="652"/>
      <c r="B19" s="653"/>
      <c r="C19" s="653"/>
      <c r="D19" s="653"/>
      <c r="E19" s="653"/>
      <c r="F19" s="653"/>
      <c r="G19" s="653"/>
      <c r="H19" s="653"/>
      <c r="I19" s="653"/>
      <c r="J19" s="653"/>
      <c r="K19" s="653"/>
      <c r="L19" s="653"/>
      <c r="M19" s="653"/>
      <c r="N19" s="653"/>
      <c r="O19" s="652"/>
    </row>
    <row r="20" spans="1:15" x14ac:dyDescent="0.3">
      <c r="A20" s="652"/>
      <c r="B20" s="653"/>
      <c r="C20" s="653"/>
      <c r="D20" s="653"/>
      <c r="E20" s="653"/>
      <c r="F20" s="653"/>
      <c r="G20" s="653"/>
      <c r="H20" s="653"/>
      <c r="I20" s="653"/>
      <c r="J20" s="653"/>
      <c r="K20" s="653"/>
      <c r="L20" s="653"/>
      <c r="M20" s="653"/>
      <c r="N20" s="653"/>
      <c r="O20" s="652"/>
    </row>
    <row r="21" spans="1:15" x14ac:dyDescent="0.3">
      <c r="A21" s="652"/>
      <c r="B21" s="653"/>
      <c r="C21" s="653"/>
      <c r="D21" s="653"/>
      <c r="E21" s="653"/>
      <c r="F21" s="653"/>
      <c r="G21" s="653"/>
      <c r="H21" s="653"/>
      <c r="I21" s="653"/>
      <c r="J21" s="653"/>
      <c r="K21" s="653"/>
      <c r="L21" s="653"/>
      <c r="M21" s="653"/>
      <c r="N21" s="653"/>
      <c r="O21" s="652"/>
    </row>
    <row r="22" spans="1:15" x14ac:dyDescent="0.3">
      <c r="A22" s="652"/>
      <c r="B22" s="653"/>
      <c r="C22" s="653"/>
      <c r="D22" s="653"/>
      <c r="E22" s="653"/>
      <c r="F22" s="653"/>
      <c r="G22" s="653"/>
      <c r="H22" s="653"/>
      <c r="I22" s="653"/>
      <c r="J22" s="653"/>
      <c r="K22" s="653"/>
      <c r="L22" s="653"/>
      <c r="M22" s="653"/>
      <c r="N22" s="653"/>
      <c r="O22" s="652"/>
    </row>
    <row r="23" spans="1:15" x14ac:dyDescent="0.3">
      <c r="A23" s="652"/>
      <c r="B23" s="653"/>
      <c r="C23" s="653"/>
      <c r="D23" s="653"/>
      <c r="E23" s="653"/>
      <c r="F23" s="653"/>
      <c r="G23" s="653"/>
      <c r="H23" s="653"/>
      <c r="I23" s="653"/>
      <c r="J23" s="653"/>
      <c r="K23" s="653"/>
      <c r="L23" s="653"/>
      <c r="M23" s="653"/>
      <c r="N23" s="653"/>
      <c r="O23" s="652"/>
    </row>
    <row r="24" spans="1:15" x14ac:dyDescent="0.3">
      <c r="A24" s="652"/>
      <c r="B24" s="653"/>
      <c r="C24" s="653"/>
      <c r="D24" s="653"/>
      <c r="E24" s="653"/>
      <c r="F24" s="653"/>
      <c r="G24" s="653"/>
      <c r="H24" s="653"/>
      <c r="I24" s="653"/>
      <c r="J24" s="653"/>
      <c r="K24" s="653"/>
      <c r="L24" s="653"/>
      <c r="M24" s="653"/>
      <c r="N24" s="653"/>
      <c r="O24" s="652"/>
    </row>
    <row r="25" spans="1:15" x14ac:dyDescent="0.3">
      <c r="A25" s="652"/>
      <c r="B25" s="653"/>
      <c r="C25" s="653"/>
      <c r="D25" s="653"/>
      <c r="E25" s="653"/>
      <c r="F25" s="653"/>
      <c r="G25" s="653"/>
      <c r="H25" s="653"/>
      <c r="I25" s="653"/>
      <c r="J25" s="653"/>
      <c r="K25" s="653"/>
      <c r="L25" s="653"/>
      <c r="M25" s="653"/>
      <c r="N25" s="653"/>
      <c r="O25" s="652"/>
    </row>
    <row r="26" spans="1:15" x14ac:dyDescent="0.3">
      <c r="A26" s="652"/>
      <c r="B26" s="653"/>
      <c r="C26" s="653"/>
      <c r="D26" s="653"/>
      <c r="E26" s="653"/>
      <c r="F26" s="653"/>
      <c r="G26" s="653"/>
      <c r="H26" s="653"/>
      <c r="I26" s="653"/>
      <c r="J26" s="653"/>
      <c r="K26" s="653"/>
      <c r="L26" s="653"/>
      <c r="M26" s="653"/>
      <c r="N26" s="653"/>
      <c r="O26" s="652"/>
    </row>
    <row r="27" spans="1:15" x14ac:dyDescent="0.3">
      <c r="A27" s="652"/>
      <c r="B27" s="653"/>
      <c r="C27" s="653"/>
      <c r="D27" s="653"/>
      <c r="E27" s="653"/>
      <c r="F27" s="653"/>
      <c r="G27" s="653"/>
      <c r="H27" s="653"/>
      <c r="I27" s="653"/>
      <c r="J27" s="653"/>
      <c r="K27" s="653"/>
      <c r="L27" s="653"/>
      <c r="M27" s="653"/>
      <c r="N27" s="653"/>
      <c r="O27" s="652"/>
    </row>
    <row r="28" spans="1:15" x14ac:dyDescent="0.3">
      <c r="A28" s="652"/>
      <c r="B28" s="653"/>
      <c r="C28" s="653"/>
      <c r="D28" s="653"/>
      <c r="E28" s="653"/>
      <c r="F28" s="653"/>
      <c r="G28" s="653"/>
      <c r="H28" s="653"/>
      <c r="I28" s="653"/>
      <c r="J28" s="653"/>
      <c r="K28" s="653"/>
      <c r="L28" s="653"/>
      <c r="M28" s="653"/>
      <c r="N28" s="653"/>
      <c r="O28" s="652"/>
    </row>
    <row r="29" spans="1:15" x14ac:dyDescent="0.3">
      <c r="A29" s="652"/>
      <c r="B29" s="653"/>
      <c r="C29" s="653"/>
      <c r="D29" s="653"/>
      <c r="E29" s="653"/>
      <c r="F29" s="653"/>
      <c r="G29" s="653"/>
      <c r="H29" s="653"/>
      <c r="I29" s="653"/>
      <c r="J29" s="653"/>
      <c r="K29" s="653"/>
      <c r="L29" s="653"/>
      <c r="M29" s="653"/>
      <c r="N29" s="653"/>
      <c r="O29" s="652"/>
    </row>
    <row r="30" spans="1:15" x14ac:dyDescent="0.3">
      <c r="A30" s="652"/>
      <c r="B30" s="653"/>
      <c r="C30" s="653"/>
      <c r="D30" s="653"/>
      <c r="E30" s="653"/>
      <c r="F30" s="653"/>
      <c r="G30" s="653"/>
      <c r="H30" s="653"/>
      <c r="I30" s="653"/>
      <c r="J30" s="653"/>
      <c r="K30" s="653"/>
      <c r="L30" s="653"/>
      <c r="M30" s="653"/>
      <c r="N30" s="653"/>
      <c r="O30" s="652"/>
    </row>
    <row r="31" spans="1:15" x14ac:dyDescent="0.3">
      <c r="A31" s="652"/>
      <c r="B31" s="653"/>
      <c r="C31" s="653"/>
      <c r="D31" s="653"/>
      <c r="E31" s="653"/>
      <c r="F31" s="653"/>
      <c r="G31" s="653"/>
      <c r="H31" s="653"/>
      <c r="I31" s="653"/>
      <c r="J31" s="653"/>
      <c r="K31" s="653"/>
      <c r="L31" s="653"/>
      <c r="M31" s="653"/>
      <c r="N31" s="653"/>
      <c r="O31" s="652"/>
    </row>
    <row r="32" spans="1:15" x14ac:dyDescent="0.3">
      <c r="A32" s="652"/>
      <c r="B32" s="653"/>
      <c r="C32" s="653"/>
      <c r="D32" s="653"/>
      <c r="E32" s="653"/>
      <c r="F32" s="653"/>
      <c r="G32" s="653"/>
      <c r="H32" s="653"/>
      <c r="I32" s="653"/>
      <c r="J32" s="653"/>
      <c r="K32" s="653"/>
      <c r="L32" s="653"/>
      <c r="M32" s="653"/>
      <c r="N32" s="653"/>
      <c r="O32" s="652"/>
    </row>
    <row r="33" spans="1:15" x14ac:dyDescent="0.3">
      <c r="A33" s="652"/>
      <c r="B33" s="653"/>
      <c r="C33" s="653"/>
      <c r="D33" s="653"/>
      <c r="E33" s="653"/>
      <c r="F33" s="653"/>
      <c r="G33" s="653"/>
      <c r="H33" s="653"/>
      <c r="I33" s="653"/>
      <c r="J33" s="653"/>
      <c r="K33" s="653"/>
      <c r="L33" s="653"/>
      <c r="M33" s="653"/>
      <c r="N33" s="653"/>
      <c r="O33" s="652"/>
    </row>
    <row r="34" spans="1:15" x14ac:dyDescent="0.3">
      <c r="A34" s="652"/>
      <c r="B34" s="652"/>
      <c r="C34" s="652"/>
      <c r="D34" s="652"/>
      <c r="E34" s="652"/>
      <c r="F34" s="652"/>
      <c r="G34" s="652"/>
      <c r="H34" s="652"/>
      <c r="I34" s="652"/>
      <c r="J34" s="652"/>
      <c r="K34" s="652"/>
      <c r="L34" s="652"/>
      <c r="M34" s="652"/>
      <c r="N34" s="652"/>
      <c r="O34" s="652"/>
    </row>
  </sheetData>
  <mergeCells count="4">
    <mergeCell ref="A1:A34"/>
    <mergeCell ref="B1:O1"/>
    <mergeCell ref="O2:O33"/>
    <mergeCell ref="B34:O34"/>
  </mergeCells>
  <pageMargins left="0.7" right="0.7" top="0.75" bottom="0.75" header="0.3" footer="0.3"/>
  <pageSetup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A1:AI81"/>
  <sheetViews>
    <sheetView showGridLines="0" zoomScale="85" zoomScaleNormal="85" workbookViewId="0"/>
  </sheetViews>
  <sheetFormatPr baseColWidth="10" defaultColWidth="0" defaultRowHeight="14.4" zeroHeight="1" x14ac:dyDescent="0.3"/>
  <cols>
    <col min="1" max="1" width="3.88671875" style="15" customWidth="1"/>
    <col min="2" max="3" width="14.33203125" style="15" customWidth="1"/>
    <col min="4" max="4" width="15.88671875" style="15" customWidth="1"/>
    <col min="5" max="5" width="14.33203125" style="15" customWidth="1"/>
    <col min="6" max="6" width="21" style="15" customWidth="1"/>
    <col min="7" max="11" width="17.33203125" style="15" customWidth="1"/>
    <col min="12" max="12" width="14.33203125" style="15" customWidth="1"/>
    <col min="13" max="13" width="4.6640625" style="15" customWidth="1"/>
    <col min="14" max="35" width="0" style="15" hidden="1" customWidth="1"/>
    <col min="36" max="16384" width="11.5546875" style="15" hidden="1"/>
  </cols>
  <sheetData>
    <row r="1" spans="2:12" ht="15" thickBot="1" x14ac:dyDescent="0.35"/>
    <row r="2" spans="2:12" ht="21" x14ac:dyDescent="0.3">
      <c r="B2" s="454"/>
      <c r="C2" s="455"/>
      <c r="D2" s="460" t="s">
        <v>1781</v>
      </c>
      <c r="E2" s="461"/>
      <c r="F2" s="461"/>
      <c r="G2" s="461"/>
      <c r="H2" s="461"/>
      <c r="I2" s="461"/>
      <c r="J2" s="461"/>
      <c r="K2" s="461"/>
      <c r="L2" s="462"/>
    </row>
    <row r="3" spans="2:12" ht="21" x14ac:dyDescent="0.3">
      <c r="B3" s="456"/>
      <c r="C3" s="457"/>
      <c r="D3" s="463" t="s">
        <v>1804</v>
      </c>
      <c r="E3" s="464"/>
      <c r="F3" s="464"/>
      <c r="G3" s="464"/>
      <c r="H3" s="464"/>
      <c r="I3" s="464"/>
      <c r="J3" s="464"/>
      <c r="K3" s="464"/>
      <c r="L3" s="465"/>
    </row>
    <row r="4" spans="2:12" ht="21" x14ac:dyDescent="0.3">
      <c r="B4" s="456"/>
      <c r="C4" s="457"/>
      <c r="D4" s="463" t="s">
        <v>2</v>
      </c>
      <c r="E4" s="464"/>
      <c r="F4" s="464"/>
      <c r="G4" s="464"/>
      <c r="H4" s="464"/>
      <c r="I4" s="464"/>
      <c r="J4" s="464"/>
      <c r="K4" s="464"/>
      <c r="L4" s="465"/>
    </row>
    <row r="5" spans="2:12" ht="21.6" thickBot="1" x14ac:dyDescent="0.35">
      <c r="B5" s="458"/>
      <c r="C5" s="459"/>
      <c r="D5" s="466" t="s">
        <v>3</v>
      </c>
      <c r="E5" s="467"/>
      <c r="F5" s="467"/>
      <c r="G5" s="467"/>
      <c r="H5" s="467"/>
      <c r="I5" s="467"/>
      <c r="J5" s="467"/>
      <c r="K5" s="467"/>
      <c r="L5" s="468"/>
    </row>
    <row r="6" spans="2:12" ht="15" thickBot="1" x14ac:dyDescent="0.35">
      <c r="F6" s="429"/>
      <c r="G6" s="429"/>
      <c r="H6" s="429"/>
      <c r="I6" s="506" t="s">
        <v>1783</v>
      </c>
      <c r="J6" s="506"/>
      <c r="K6" s="507">
        <f ca="1">+NOW()</f>
        <v>44167.04470914352</v>
      </c>
      <c r="L6" s="507"/>
    </row>
    <row r="7" spans="2:12" ht="15.6" x14ac:dyDescent="0.3">
      <c r="B7" s="486" t="s">
        <v>1784</v>
      </c>
      <c r="C7" s="487"/>
      <c r="D7" s="487"/>
      <c r="E7" s="487"/>
      <c r="F7" s="487"/>
      <c r="G7" s="487"/>
      <c r="H7" s="487"/>
      <c r="I7" s="487"/>
      <c r="J7" s="487"/>
      <c r="K7" s="487"/>
      <c r="L7" s="488"/>
    </row>
    <row r="8" spans="2:12" x14ac:dyDescent="0.3">
      <c r="B8" s="508"/>
      <c r="C8" s="509"/>
      <c r="D8" s="509"/>
      <c r="E8" s="509"/>
      <c r="F8" s="509"/>
      <c r="G8" s="509"/>
      <c r="H8" s="509"/>
      <c r="I8" s="510"/>
      <c r="J8" s="425" t="s">
        <v>1785</v>
      </c>
      <c r="K8" s="480">
        <v>2020</v>
      </c>
      <c r="L8" s="481"/>
    </row>
    <row r="9" spans="2:12" ht="27.15" customHeight="1" x14ac:dyDescent="0.3">
      <c r="B9" s="470" t="s">
        <v>1020</v>
      </c>
      <c r="C9" s="471"/>
      <c r="D9" s="511" t="str">
        <f>+IFERROR(VLOOKUP($K$9,BD_metas!$A$5:$DC$524,MATCH($B$9,BD_metas!$A$5:$DC$5,0),0),"")</f>
        <v>Bogotá Mejor Para Todos</v>
      </c>
      <c r="E9" s="511"/>
      <c r="F9" s="511"/>
      <c r="G9" s="511"/>
      <c r="H9" s="511"/>
      <c r="I9" s="511"/>
      <c r="J9" s="428" t="s">
        <v>1786</v>
      </c>
      <c r="K9" s="501">
        <v>69</v>
      </c>
      <c r="L9" s="512">
        <v>160</v>
      </c>
    </row>
    <row r="10" spans="2:12" ht="42.6" customHeight="1" x14ac:dyDescent="0.3">
      <c r="B10" s="472" t="s">
        <v>326</v>
      </c>
      <c r="C10" s="473"/>
      <c r="D10" s="501" t="s">
        <v>183</v>
      </c>
      <c r="E10" s="501" t="s">
        <v>163</v>
      </c>
      <c r="F10" s="501" t="s">
        <v>163</v>
      </c>
      <c r="G10" s="428" t="s">
        <v>1021</v>
      </c>
      <c r="H10" s="484" t="str">
        <f>+IFERROR(VLOOKUP($K$9,BD_metas!$A$5:$DC$524,MATCH($G$10,BD_metas!$A$5:$DC$5,0),0),"")</f>
        <v>Director Distrital de Calidad del Servicio</v>
      </c>
      <c r="I10" s="484"/>
      <c r="J10" s="428" t="s">
        <v>1022</v>
      </c>
      <c r="K10" s="484" t="str">
        <f>+IFERROR(VLOOKUP($K$9,BD_metas!$A$5:$DC$524,MATCH($J$10,BD_metas!$A$5:$DC$5,0),0),"")</f>
        <v>Dorían de Jesús Coquies Maestre</v>
      </c>
      <c r="L10" s="502"/>
    </row>
    <row r="11" spans="2:12" ht="15" thickBot="1" x14ac:dyDescent="0.35">
      <c r="B11" s="485"/>
      <c r="C11" s="485"/>
      <c r="D11" s="485"/>
      <c r="E11" s="485"/>
      <c r="F11" s="485"/>
      <c r="G11" s="485"/>
      <c r="H11" s="485"/>
      <c r="I11" s="485"/>
      <c r="J11" s="485"/>
      <c r="K11" s="485"/>
      <c r="L11" s="485"/>
    </row>
    <row r="12" spans="2:12" ht="15.6" x14ac:dyDescent="0.3">
      <c r="B12" s="486" t="s">
        <v>1805</v>
      </c>
      <c r="C12" s="487"/>
      <c r="D12" s="487"/>
      <c r="E12" s="487"/>
      <c r="F12" s="487"/>
      <c r="G12" s="487"/>
      <c r="H12" s="487"/>
      <c r="I12" s="487"/>
      <c r="J12" s="487"/>
      <c r="K12" s="487"/>
      <c r="L12" s="488"/>
    </row>
    <row r="13" spans="2:12" x14ac:dyDescent="0.3">
      <c r="B13" s="474"/>
      <c r="C13" s="475"/>
      <c r="D13" s="475"/>
      <c r="E13" s="475"/>
      <c r="F13" s="475"/>
      <c r="G13" s="475"/>
      <c r="H13" s="475"/>
      <c r="I13" s="475"/>
      <c r="J13" s="475"/>
      <c r="K13" s="475"/>
      <c r="L13" s="476"/>
    </row>
    <row r="14" spans="2:12" ht="57" customHeight="1" x14ac:dyDescent="0.3">
      <c r="B14" s="470" t="s">
        <v>1023</v>
      </c>
      <c r="C14" s="471"/>
      <c r="D14" s="1" t="str">
        <f>+IFERROR(VLOOKUP($K$9,BD_metas!$A$5:$DC$524,MATCH($B$14,BD_metas!$A$5:$DC$5,0),0),"")</f>
        <v>P2 -  SERVICIO AL CIUDADANO</v>
      </c>
      <c r="E14" s="425" t="s">
        <v>1024</v>
      </c>
      <c r="F14" s="503" t="str">
        <f>+IFERROR(VLOOKUP($K$9,BD_metas!$A$5:$DC$524,MATCH($E$14,BD_metas!$A$5:$DC$5,0),0),"")</f>
        <v xml:space="preserve">P2O1 Mejorar la experiencia de la ciudadanía, con enfoque diferencial y preferencial, en su relación con la Administración Distrital </v>
      </c>
      <c r="G14" s="503"/>
      <c r="H14" s="503"/>
      <c r="I14" s="425" t="s">
        <v>1025</v>
      </c>
      <c r="J14" s="503" t="str">
        <f>+IFERROR(VLOOKUP($K$9,BD_metas!$A$5:$DC$524,MATCH($I$14,BD_metas!$A$5:$DC$5,0),0),"")</f>
        <v>P2O1A1 Desarrollar y actualizar contenidos temáticos de la cualificación</v>
      </c>
      <c r="K14" s="503"/>
      <c r="L14" s="504"/>
    </row>
    <row r="15" spans="2:12" ht="24" customHeight="1" x14ac:dyDescent="0.3">
      <c r="B15" s="470" t="s">
        <v>1105</v>
      </c>
      <c r="C15" s="471"/>
      <c r="D15" s="503" t="str">
        <f>+IFERROR(VLOOKUP($K$9,BD_metas!$A$5:$DC$524,MATCH($B$15,BD_metas!$A$5:$DC$5,0),0),"")</f>
        <v xml:space="preserve">Plan Estratégico Institucional, Plan de Acción, </v>
      </c>
      <c r="E15" s="503"/>
      <c r="F15" s="503"/>
      <c r="G15" s="503"/>
      <c r="H15" s="503"/>
      <c r="I15" s="503"/>
      <c r="J15" s="503"/>
      <c r="K15" s="503"/>
      <c r="L15" s="504"/>
    </row>
    <row r="16" spans="2:12" ht="24" customHeight="1" thickBot="1" x14ac:dyDescent="0.35">
      <c r="B16" s="499" t="s">
        <v>1788</v>
      </c>
      <c r="C16" s="500"/>
      <c r="D16" s="500"/>
      <c r="E16" s="428" t="s">
        <v>1789</v>
      </c>
      <c r="F16" s="491" t="str">
        <f>+IFERROR(VLOOKUP($K$9,BD_metas!$A$5:$DC$524,MATCH($E$16,BD_metas!$A$5:$DC$5,0),0),"")</f>
        <v>No Aplica</v>
      </c>
      <c r="G16" s="491"/>
      <c r="H16" s="491"/>
      <c r="I16" s="428" t="s">
        <v>1790</v>
      </c>
      <c r="J16" s="491" t="str">
        <f>+IFERROR(VLOOKUP($K$9,BD_metas!$A$5:$DC$524,MATCH($I$16,BD_metas!$A$5:$DC$5,0),0),"")</f>
        <v>No Aplica</v>
      </c>
      <c r="K16" s="491"/>
      <c r="L16" s="505"/>
    </row>
    <row r="17" spans="1:12" ht="15" thickBot="1" x14ac:dyDescent="0.35">
      <c r="B17" s="485"/>
      <c r="C17" s="485"/>
      <c r="D17" s="485"/>
      <c r="E17" s="485"/>
      <c r="F17" s="485"/>
      <c r="G17" s="485"/>
      <c r="H17" s="485"/>
      <c r="I17" s="485"/>
      <c r="J17" s="485"/>
      <c r="K17" s="485"/>
      <c r="L17" s="485"/>
    </row>
    <row r="18" spans="1:12" ht="15.6" x14ac:dyDescent="0.3">
      <c r="B18" s="486" t="s">
        <v>1806</v>
      </c>
      <c r="C18" s="487"/>
      <c r="D18" s="487"/>
      <c r="E18" s="487"/>
      <c r="F18" s="487"/>
      <c r="G18" s="487"/>
      <c r="H18" s="487"/>
      <c r="I18" s="487"/>
      <c r="J18" s="487"/>
      <c r="K18" s="487"/>
      <c r="L18" s="488"/>
    </row>
    <row r="19" spans="1:12" x14ac:dyDescent="0.3">
      <c r="B19" s="474"/>
      <c r="C19" s="475"/>
      <c r="D19" s="475"/>
      <c r="E19" s="475"/>
      <c r="F19" s="475"/>
      <c r="G19" s="475"/>
      <c r="H19" s="475"/>
      <c r="I19" s="475"/>
      <c r="J19" s="475"/>
      <c r="K19" s="475"/>
      <c r="L19" s="476"/>
    </row>
    <row r="20" spans="1:12" ht="38.25" customHeight="1" x14ac:dyDescent="0.3">
      <c r="B20" s="470" t="s">
        <v>1792</v>
      </c>
      <c r="C20" s="471"/>
      <c r="D20" s="480" t="str">
        <f>+IFERROR(VLOOKUP($K$9,BD_metas!$A$5:$DC$524,MATCH($B$20,BD_metas!$A$5:$DC$5,0),0),"")</f>
        <v xml:space="preserve">Realizar con administradores y/o usuarios del Sistema Distrital para la Gestión de Peticiones Ciudadanas. capacitaciones en la funcionalidad, configuración, manejo y uso general del sistema </v>
      </c>
      <c r="E20" s="480"/>
      <c r="F20" s="480"/>
      <c r="G20" s="425" t="s">
        <v>541</v>
      </c>
      <c r="H20" s="480" t="str">
        <f>+IFERROR(VLOOKUP($K$9,BD_metas!$A$5:$DC$524,MATCH($G$20,BD_metas!$A$5:$DC$5,0),0),"")</f>
        <v xml:space="preserve">Capacitaciones en la funcionalidad, configuración, manejo y uso general de la herramienta Bogotá te Escucha-Sistema Distrital para la Gestión de Peticiones Ciudadanas, realizadas a sus administradores y/o usuarios </v>
      </c>
      <c r="I20" s="480"/>
      <c r="J20" s="480"/>
      <c r="K20" s="480"/>
      <c r="L20" s="481"/>
    </row>
    <row r="21" spans="1:12" ht="165" customHeight="1" x14ac:dyDescent="0.3">
      <c r="B21" s="470" t="s">
        <v>1793</v>
      </c>
      <c r="C21" s="471"/>
      <c r="D21" s="480" t="str">
        <f>+IFERROR(VLOOKUP($K$9,bd,MATCH($B$21,bdfila,0),0),"")</f>
        <v xml:space="preserve">Mide el No de capacitaciones en  la funcionalidad, configuración, manejo y uso general de la herramienta Bogotá te Escucha-Sistema Distrital para la Gestión de Peticiones Ciudadanas, realizadas a sus administradores y/o usuarios 
</v>
      </c>
      <c r="E21" s="480"/>
      <c r="F21" s="480"/>
      <c r="G21" s="425" t="s">
        <v>1132</v>
      </c>
      <c r="H21" s="480" t="str">
        <f>+IFERROR(VLOOKUP($K$9,bd,MATCH($G$21,bdfila,0),0),"")</f>
        <v>• Capacitar a los administradores del Sistema Distrital para la Gestión de Peticiones Ciudadanas, de las entidades distritales, en funcionalidad, configuración, uso y manejo del sistema.</v>
      </c>
      <c r="I21" s="480"/>
      <c r="J21" s="425" t="s">
        <v>1133</v>
      </c>
      <c r="K21" s="480" t="str">
        <f>+IFERROR(VLOOKUP($K$9,bd,MATCH($J$21,bdfila,0),0),"")</f>
        <v xml:space="preserve">La capacitación funcional fortalece las competencias de los servidores para operar y administrar el Sistema Distrital para la gestión de peticiones ciudadanas.     </v>
      </c>
      <c r="L21" s="481"/>
    </row>
    <row r="22" spans="1:12" ht="26.4" x14ac:dyDescent="0.3">
      <c r="B22" s="424" t="s">
        <v>1794</v>
      </c>
      <c r="C22" s="480">
        <f>+IFERROR(VLOOKUP($K$9,BD_metas!$A$5:$DC$524,MATCH($B$22,BD_metas!$A$5:$DC$5,0),0),"")</f>
        <v>2016</v>
      </c>
      <c r="D22" s="480"/>
      <c r="E22" s="425" t="s">
        <v>544</v>
      </c>
      <c r="F22" s="480" t="str">
        <f>+IFERROR(VLOOKUP($K$9,BD_metas!$A$5:$DC$524,MATCH($E$22,BD_metas!$A$5:$DC$5,0),0),"")</f>
        <v>Constante</v>
      </c>
      <c r="G22" s="480"/>
      <c r="H22" s="425" t="s">
        <v>1033</v>
      </c>
      <c r="I22" s="480" t="str">
        <f>+IFERROR(VLOOKUP($K$9,BD_metas!$A$5:$DC$524,MATCH($H$22,BD_metas!$A$5:$DC$5,0),0),"")</f>
        <v xml:space="preserve">Eficacia </v>
      </c>
      <c r="J22" s="480"/>
      <c r="K22" s="425" t="s">
        <v>416</v>
      </c>
      <c r="L22" s="426" t="str">
        <f>+IFERROR(VLOOKUP($K$9,bd,MATCH($K$22,bdfila,0),0),"")</f>
        <v>Suma</v>
      </c>
    </row>
    <row r="23" spans="1:12" ht="48" customHeight="1" x14ac:dyDescent="0.3">
      <c r="B23" s="424" t="s">
        <v>1031</v>
      </c>
      <c r="C23" s="522" t="str">
        <f>+IFERROR(VLOOKUP($K$9,BD_metas!$A$5:$DC$524,MATCH($B$23,BD_metas!$A$5:$DC$5,0),0),"")</f>
        <v>Capacitaciones funcionales en la configuración, uso y manejo del Sistema Distrital para la Gestión de Peticiones Ciudadanas.</v>
      </c>
      <c r="D23" s="522"/>
      <c r="E23" s="425" t="s">
        <v>413</v>
      </c>
      <c r="F23" s="523" t="str">
        <f>+IFERROR(VLOOKUP($K$9,BD_metas!$A$5:$DC$524,MATCH($E$23,BD_metas!$A$5:$DC$5,0),0),"")</f>
        <v>Número</v>
      </c>
      <c r="G23" s="523"/>
      <c r="H23" s="425" t="s">
        <v>1034</v>
      </c>
      <c r="I23" s="480" t="str">
        <f>+IFERROR(VLOOKUP($K$9,BD_metas!$A$5:$DC$524,MATCH($H$23,BD_metas!$A$5:$DC$5,0),0),"")</f>
        <v>Resultado</v>
      </c>
      <c r="J23" s="480"/>
      <c r="K23" s="425" t="s">
        <v>1036</v>
      </c>
      <c r="L23" s="22">
        <f>+IFERROR(VLOOKUP($K$9,BD_metas!$A$5:$DC$524,MATCH($K$23,BD_metas!$A$5:$DC$5,0),0),"")</f>
        <v>0</v>
      </c>
    </row>
    <row r="24" spans="1:12" ht="27.6" customHeight="1" x14ac:dyDescent="0.3">
      <c r="B24" s="470" t="s">
        <v>1028</v>
      </c>
      <c r="C24" s="471"/>
      <c r="D24" s="480" t="str">
        <f>+IFERROR(VLOOKUP($K$9,BD_metas!$A$5:$DC$524,MATCH($B$24,BD_metas!$A$5:$DC$5,0),0),"")</f>
        <v xml:space="preserve">  Sumatoria de capacitaciones en la configuración, uso y manejo del Sistema Distrital para la Gestión de Peticiones Ciudadanas.  </v>
      </c>
      <c r="E24" s="480"/>
      <c r="F24" s="480"/>
      <c r="G24" s="480"/>
      <c r="H24" s="480"/>
      <c r="I24" s="480"/>
      <c r="J24" s="471" t="s">
        <v>1134</v>
      </c>
      <c r="K24" s="494" t="str">
        <f>+IFERROR(VLOOKUP($K$9,bd,MATCH($J$24,bdfila,0),0),"")</f>
        <v>Registros de Asistencia  (Formato 2211300-FT-211 PDF)</v>
      </c>
      <c r="L24" s="495"/>
    </row>
    <row r="25" spans="1:12" ht="37.5" customHeight="1" thickBot="1" x14ac:dyDescent="0.35">
      <c r="B25" s="427" t="s">
        <v>1029</v>
      </c>
      <c r="C25" s="484" t="str">
        <f>+IFERROR(VLOOKUP($K$9,BD_metas!$A$5:$DC$524,MATCH($B$25,BD_metas!$A$5:$DC$5,0),0),"")</f>
        <v>Capacitaciones en la configuración, uso y manejo del Sistema Distrital para la Gestión de Peticiones Ciudadanas.</v>
      </c>
      <c r="D25" s="484"/>
      <c r="E25" s="484"/>
      <c r="F25" s="428" t="s">
        <v>1030</v>
      </c>
      <c r="G25" s="484">
        <f>+IFERROR(VLOOKUP($K$9,BD_metas!$A$5:$DC$524,MATCH($F$25,BD_metas!$A$5:$DC$5,0),0),"")</f>
        <v>0</v>
      </c>
      <c r="H25" s="484"/>
      <c r="I25" s="484"/>
      <c r="J25" s="473"/>
      <c r="K25" s="496"/>
      <c r="L25" s="497"/>
    </row>
    <row r="26" spans="1:12" x14ac:dyDescent="0.3">
      <c r="B26" s="485"/>
      <c r="C26" s="485"/>
      <c r="D26" s="485"/>
      <c r="E26" s="485"/>
      <c r="F26" s="485"/>
      <c r="G26" s="485"/>
      <c r="H26" s="485"/>
      <c r="I26" s="485"/>
      <c r="J26" s="485"/>
      <c r="K26" s="485"/>
      <c r="L26" s="485"/>
    </row>
    <row r="27" spans="1:12" ht="15" thickBot="1" x14ac:dyDescent="0.35"/>
    <row r="28" spans="1:12" ht="15.6" x14ac:dyDescent="0.3">
      <c r="A28" s="420"/>
      <c r="B28" s="527" t="s">
        <v>1807</v>
      </c>
      <c r="C28" s="528"/>
      <c r="D28" s="528"/>
      <c r="E28" s="528"/>
      <c r="F28" s="528"/>
      <c r="G28" s="528"/>
      <c r="H28" s="528"/>
      <c r="I28" s="528"/>
      <c r="J28" s="528"/>
      <c r="K28" s="528"/>
      <c r="L28" s="529"/>
    </row>
    <row r="29" spans="1:12" ht="15" thickBot="1" x14ac:dyDescent="0.35">
      <c r="A29" s="23"/>
      <c r="B29" s="24"/>
      <c r="C29" s="23"/>
      <c r="D29" s="23"/>
      <c r="E29" s="23"/>
      <c r="F29" s="23"/>
      <c r="G29" s="23"/>
      <c r="H29" s="23"/>
      <c r="I29" s="23"/>
      <c r="J29" s="23"/>
      <c r="K29" s="23"/>
      <c r="L29" s="25"/>
    </row>
    <row r="30" spans="1:12" x14ac:dyDescent="0.3">
      <c r="A30" s="420"/>
      <c r="B30" s="524" t="s">
        <v>1808</v>
      </c>
      <c r="C30" s="525"/>
      <c r="D30" s="525"/>
      <c r="E30" s="525"/>
      <c r="F30" s="525"/>
      <c r="G30" s="526"/>
      <c r="H30" s="420"/>
      <c r="I30" s="37" t="s">
        <v>1809</v>
      </c>
      <c r="J30" s="38"/>
      <c r="K30" s="38"/>
      <c r="L30" s="39"/>
    </row>
    <row r="31" spans="1:12" ht="26.4" x14ac:dyDescent="0.3">
      <c r="A31" s="420"/>
      <c r="B31" s="424" t="s">
        <v>1810</v>
      </c>
      <c r="C31" s="425" t="s">
        <v>1811</v>
      </c>
      <c r="D31" s="425" t="s">
        <v>1812</v>
      </c>
      <c r="E31" s="425" t="s">
        <v>1030</v>
      </c>
      <c r="F31" s="425" t="s">
        <v>1813</v>
      </c>
      <c r="G31" s="35" t="s">
        <v>1814</v>
      </c>
      <c r="H31" s="26"/>
      <c r="I31" s="40"/>
      <c r="J31" s="41"/>
      <c r="K31" s="41"/>
      <c r="L31" s="42"/>
    </row>
    <row r="32" spans="1:12" x14ac:dyDescent="0.3">
      <c r="A32" s="27">
        <v>43858</v>
      </c>
      <c r="B32" s="28" t="s">
        <v>1815</v>
      </c>
      <c r="C32" s="29">
        <f t="shared" ref="C32:C37" si="0">+VLOOKUP($K$9,bd,MATCH(LEFT($C$31,4)&amp;"_"&amp;B32,bdfila,0),0)</f>
        <v>0</v>
      </c>
      <c r="D32" s="29">
        <f t="shared" ref="D32:D37" si="1">+VLOOKUP($K$9,bd,MATCH($B32&amp;"_V1",bdfila,0),0)</f>
        <v>0</v>
      </c>
      <c r="E32" s="29" t="str">
        <f t="shared" ref="E32:E37" si="2">+VLOOKUP($K$9,bd,MATCH($B32&amp;"_V2",bdfila,0),0)</f>
        <v/>
      </c>
      <c r="F32" s="355" t="str">
        <f t="shared" ref="F32:F38" ca="1" si="3">++IFERROR(IF(AND(C32=0,D32=0),"",IF(TODAY()&gt;A32,VLOOKUP($K$9,bd,MATCH($B32&amp;"_AvanceCuanti",bdfila,0),0),"")),"")</f>
        <v/>
      </c>
      <c r="G32" s="83" t="str">
        <f t="shared" ref="G32:G37" ca="1" si="4">++IFERROR(IF(AND(C32=0,D32=0),"",IF(TODAY()&gt;A32,VLOOKUP($K$9,bd,MATCH($B32&amp;"_%Cumplimiento",bdfila,0),0),"")),"")</f>
        <v/>
      </c>
      <c r="H32" s="30"/>
      <c r="I32" s="40"/>
      <c r="J32" s="41"/>
      <c r="K32" s="41"/>
      <c r="L32" s="42"/>
    </row>
    <row r="33" spans="1:12" x14ac:dyDescent="0.3">
      <c r="A33" s="31">
        <v>43889</v>
      </c>
      <c r="B33" s="28" t="s">
        <v>1816</v>
      </c>
      <c r="C33" s="29">
        <f t="shared" si="0"/>
        <v>1</v>
      </c>
      <c r="D33" s="29">
        <f t="shared" si="1"/>
        <v>1</v>
      </c>
      <c r="E33" s="29" t="str">
        <f t="shared" si="2"/>
        <v/>
      </c>
      <c r="F33" s="355">
        <f t="shared" ca="1" si="3"/>
        <v>10</v>
      </c>
      <c r="G33" s="84">
        <f t="shared" ca="1" si="4"/>
        <v>100</v>
      </c>
      <c r="H33" s="30"/>
      <c r="I33" s="40"/>
      <c r="J33" s="41"/>
      <c r="K33" s="41"/>
      <c r="L33" s="42"/>
    </row>
    <row r="34" spans="1:12" x14ac:dyDescent="0.3">
      <c r="A34" s="27">
        <v>43918</v>
      </c>
      <c r="B34" s="28" t="s">
        <v>1817</v>
      </c>
      <c r="C34" s="29">
        <f t="shared" si="0"/>
        <v>2</v>
      </c>
      <c r="D34" s="29">
        <f t="shared" si="1"/>
        <v>2</v>
      </c>
      <c r="E34" s="29" t="str">
        <f t="shared" si="2"/>
        <v/>
      </c>
      <c r="F34" s="355">
        <f t="shared" ca="1" si="3"/>
        <v>20</v>
      </c>
      <c r="G34" s="84">
        <f t="shared" ca="1" si="4"/>
        <v>100</v>
      </c>
      <c r="H34" s="30"/>
      <c r="I34" s="40"/>
      <c r="J34" s="41"/>
      <c r="K34" s="41"/>
      <c r="L34" s="42"/>
    </row>
    <row r="35" spans="1:12" x14ac:dyDescent="0.3">
      <c r="A35" s="27">
        <v>43979</v>
      </c>
      <c r="B35" s="28" t="s">
        <v>1818</v>
      </c>
      <c r="C35" s="29">
        <f t="shared" si="0"/>
        <v>3</v>
      </c>
      <c r="D35" s="29">
        <f t="shared" si="1"/>
        <v>4</v>
      </c>
      <c r="E35" s="29" t="str">
        <f t="shared" si="2"/>
        <v/>
      </c>
      <c r="F35" s="355">
        <f t="shared" ca="1" si="3"/>
        <v>40</v>
      </c>
      <c r="G35" s="84">
        <f t="shared" ca="1" si="4"/>
        <v>116.66666666666666</v>
      </c>
      <c r="H35" s="30"/>
      <c r="I35" s="40"/>
      <c r="J35" s="41"/>
      <c r="K35" s="41"/>
      <c r="L35" s="42"/>
    </row>
    <row r="36" spans="1:12" x14ac:dyDescent="0.3">
      <c r="A36" s="27"/>
      <c r="B36" s="28" t="s">
        <v>1819</v>
      </c>
      <c r="C36" s="29">
        <f t="shared" si="0"/>
        <v>2</v>
      </c>
      <c r="D36" s="29">
        <f t="shared" si="1"/>
        <v>2</v>
      </c>
      <c r="E36" s="29" t="str">
        <f t="shared" si="2"/>
        <v/>
      </c>
      <c r="F36" s="355">
        <f ca="1">++IFERROR(IF(AND(C36=0,D36=0),"",IF(TODAY()&gt;A36,VLOOKUP($K$9,bd,MATCH($B36&amp;"_AvanceCuanti",bdfila,0),0),"")),"")</f>
        <v>20</v>
      </c>
      <c r="G36" s="84">
        <f t="shared" ca="1" si="4"/>
        <v>112.5</v>
      </c>
      <c r="H36" s="30"/>
      <c r="I36" s="40"/>
      <c r="J36" s="41"/>
      <c r="K36" s="41"/>
      <c r="L36" s="42"/>
    </row>
    <row r="37" spans="1:12" x14ac:dyDescent="0.3">
      <c r="A37" s="27">
        <v>43979</v>
      </c>
      <c r="B37" s="28" t="s">
        <v>1820</v>
      </c>
      <c r="C37" s="29">
        <f t="shared" si="0"/>
        <v>2</v>
      </c>
      <c r="D37" s="29">
        <f t="shared" si="1"/>
        <v>2</v>
      </c>
      <c r="E37" s="29" t="str">
        <f t="shared" si="2"/>
        <v/>
      </c>
      <c r="F37" s="355">
        <f ca="1">++IFERROR(IF(AND(C37=0,D37=0),"",IF(TODAY()&gt;A37,VLOOKUP($K$9,bd,MATCH($B37&amp;"_AvanceCuanti",bdfila,0),0),"")),"")</f>
        <v>20</v>
      </c>
      <c r="G37" s="84">
        <f t="shared" ca="1" si="4"/>
        <v>110</v>
      </c>
      <c r="H37" s="30"/>
      <c r="I37" s="40"/>
      <c r="J37" s="41"/>
      <c r="K37" s="41"/>
      <c r="L37" s="42"/>
    </row>
    <row r="38" spans="1:12" ht="15" thickBot="1" x14ac:dyDescent="0.35">
      <c r="A38" s="27">
        <v>43858</v>
      </c>
      <c r="B38" s="36" t="s">
        <v>1821</v>
      </c>
      <c r="C38" s="32">
        <f>+IF($L$22="Constante",AVERAGEIF($C$32:$C$37,"&lt;&gt;0"),IF($L22="Creciente",#REF!,IF(SUM(C32:C37)=0,"",SUM(C32:C37))))</f>
        <v>10</v>
      </c>
      <c r="D38" s="33">
        <f>+IFERROR(IF(AND($L$22="Constante",VLOOKUP($K$9,bd,MATCH($B38&amp;"_V1",bdfila,0),0)=0),AVERAGEIF(D32:D37,"&lt;&gt;0"),IF($L22="Creciente",D38,IF(SUM(D32:D37)=0,"",SUM(D32:D37)))),"")</f>
        <v>11</v>
      </c>
      <c r="E38" s="33" t="str">
        <f>+IFERROR(IF(AND($L$22="Constante",VLOOKUP($K$9,bd,MATCH($B38&amp;"_V1",bdfila,0),0)=0),AVERAGEIF(E32:E37,"&lt;&gt;0"),IF($L22="Creciente",E38,IF(SUM(E32:E37)=0,"",SUM(E32:E37)))),"")</f>
        <v/>
      </c>
      <c r="F38" s="356">
        <f t="shared" ca="1" si="3"/>
        <v>110</v>
      </c>
      <c r="G38" s="85">
        <f ca="1">+IF(G37&lt;&gt;"",G37,IF(G36&lt;&gt;"",G36,IF(G35&lt;&gt;"",G35,IF(G34&lt;&gt;"",G34,IF(G33&lt;&gt;"",G33,G32)))))</f>
        <v>110</v>
      </c>
      <c r="H38" s="30"/>
      <c r="I38" s="40"/>
      <c r="J38" s="41"/>
      <c r="K38" s="41"/>
      <c r="L38" s="42"/>
    </row>
    <row r="39" spans="1:12" ht="15" thickBot="1" x14ac:dyDescent="0.35">
      <c r="A39" s="420"/>
      <c r="B39" s="421"/>
      <c r="C39" s="422"/>
      <c r="D39" s="422"/>
      <c r="E39" s="422"/>
      <c r="F39" s="422"/>
      <c r="G39" s="422"/>
      <c r="H39" s="422"/>
      <c r="I39" s="421"/>
      <c r="J39" s="422"/>
      <c r="K39" s="422"/>
      <c r="L39" s="34"/>
    </row>
    <row r="40" spans="1:12" ht="15" thickBot="1" x14ac:dyDescent="0.35"/>
    <row r="41" spans="1:12" ht="15.6" x14ac:dyDescent="0.3">
      <c r="B41" s="533" t="s">
        <v>1822</v>
      </c>
      <c r="C41" s="534"/>
      <c r="D41" s="534"/>
      <c r="E41" s="534"/>
      <c r="F41" s="534"/>
      <c r="G41" s="534"/>
      <c r="H41" s="534"/>
      <c r="I41" s="534"/>
      <c r="J41" s="534"/>
      <c r="K41" s="534"/>
      <c r="L41" s="535"/>
    </row>
    <row r="42" spans="1:12" ht="42.6" customHeight="1" x14ac:dyDescent="0.3">
      <c r="B42" s="44"/>
      <c r="C42" s="530" t="s">
        <v>1823</v>
      </c>
      <c r="D42" s="531"/>
      <c r="E42" s="531"/>
      <c r="F42" s="531"/>
      <c r="G42" s="536" t="s">
        <v>1824</v>
      </c>
      <c r="H42" s="537"/>
      <c r="I42" s="538"/>
      <c r="J42" s="531" t="s">
        <v>1825</v>
      </c>
      <c r="K42" s="531"/>
      <c r="L42" s="532"/>
    </row>
    <row r="43" spans="1:12" ht="150" customHeight="1" x14ac:dyDescent="0.3">
      <c r="B43" s="43" t="s">
        <v>1815</v>
      </c>
      <c r="C43" s="539" t="str">
        <f t="shared" ref="C43:C48" si="5">+IF(VLOOKUP($K$9,bd,MATCH($B43&amp;"_I1",bdfila,0),0)=0,"",VLOOKUP($K$9,bd,MATCH($B43&amp;"_I1",bdfila,0),0))</f>
        <v>N.A</v>
      </c>
      <c r="D43" s="540"/>
      <c r="E43" s="540"/>
      <c r="F43" s="541"/>
      <c r="G43" s="477" t="str">
        <f t="shared" ref="G43:G48" si="6">+IF(VLOOKUP($K$9,bd,MATCH($B43&amp;"_I2",bdfila,0),0)=0,"",VLOOKUP($K$9,bd,MATCH($B43&amp;"_I2",bdfila,0),0))</f>
        <v>N.A</v>
      </c>
      <c r="H43" s="478"/>
      <c r="I43" s="479"/>
      <c r="J43" s="477" t="str">
        <f t="shared" ref="J43:J48" si="7">+IF(VLOOKUP($K$9,bd,MATCH($B43&amp;"_I3",bdfila,0),0)=0,"",VLOOKUP($K$9,bd,MATCH($B43&amp;"_I3",bdfila,0),0))</f>
        <v>N.A</v>
      </c>
      <c r="K43" s="478"/>
      <c r="L43" s="498"/>
    </row>
    <row r="44" spans="1:12" ht="176.4" customHeight="1" x14ac:dyDescent="0.3">
      <c r="B44" s="43" t="s">
        <v>1816</v>
      </c>
      <c r="C44" s="539" t="str">
        <f t="shared" si="5"/>
        <v xml:space="preserve">En el mes de febrero se realizó una  (1)  capacitación a  administradores y/o usuarios  del Sistema Distrital para la Gestión de Peticiones Ciudadanas , en la funcionalidad, configuración, manejo y uso general  del sistema. </v>
      </c>
      <c r="D44" s="540"/>
      <c r="E44" s="540"/>
      <c r="F44" s="541"/>
      <c r="G44" s="477" t="str">
        <f t="shared" si="6"/>
        <v>N.A</v>
      </c>
      <c r="H44" s="478"/>
      <c r="I44" s="479"/>
      <c r="J44" s="477" t="str">
        <f t="shared" si="7"/>
        <v xml:space="preserve">Se  fortalecieron las competencias de 12 servidores para operar y administrar el Sistema Distrital para la gestión de peticiones ciudadanas.     </v>
      </c>
      <c r="K44" s="478"/>
      <c r="L44" s="498"/>
    </row>
    <row r="45" spans="1:12" ht="139.94999999999999" customHeight="1" x14ac:dyDescent="0.3">
      <c r="B45" s="43" t="s">
        <v>1817</v>
      </c>
      <c r="C45" s="539" t="str">
        <f t="shared" si="5"/>
        <v xml:space="preserve">En el mes de marzo se realizaron dos  (2)  capacitaciones a  administradores y/o usuarios  del Sistema Distrital para la Gestión de Peticiones Ciudadanas , en la funcionalidad, configuración, manejo y uso general  del sistema. </v>
      </c>
      <c r="D45" s="540"/>
      <c r="E45" s="540"/>
      <c r="F45" s="541"/>
      <c r="G45" s="477" t="str">
        <f t="shared" si="6"/>
        <v>N.A</v>
      </c>
      <c r="H45" s="478"/>
      <c r="I45" s="479"/>
      <c r="J45" s="477" t="str">
        <f t="shared" si="7"/>
        <v xml:space="preserve">Se  fortalecieron las competencias de 37 servidores para operar y administrar el Sistema Distrital para la gestión de peticiones ciudadanas.     </v>
      </c>
      <c r="K45" s="478"/>
      <c r="L45" s="498"/>
    </row>
    <row r="46" spans="1:12" ht="252" customHeight="1" x14ac:dyDescent="0.3">
      <c r="B46" s="43" t="s">
        <v>1818</v>
      </c>
      <c r="C46" s="539" t="str">
        <f t="shared" si="5"/>
        <v xml:space="preserve">En el mes de abril se realizaron cuatro  (4)  capacitaciones a  administradores y/o usuarios  del Sistema Distrital para la Gestión de Peticiones Ciudadanas , en la funcionalidad, configuración, manejo y uso general  del sistema. </v>
      </c>
      <c r="D46" s="540"/>
      <c r="E46" s="540"/>
      <c r="F46" s="541"/>
      <c r="G46" s="477" t="str">
        <f t="shared" si="6"/>
        <v>N.A</v>
      </c>
      <c r="H46" s="478"/>
      <c r="I46" s="479"/>
      <c r="J46" s="477" t="str">
        <f t="shared" si="7"/>
        <v xml:space="preserve">Se  fortalecieron las competencias de 82  servidores para operar y administrar el Sistema Distrital para la gestión de peticiones ciudadanas.     </v>
      </c>
      <c r="K46" s="478"/>
      <c r="L46" s="498"/>
    </row>
    <row r="47" spans="1:12" ht="164.25" customHeight="1" x14ac:dyDescent="0.3">
      <c r="B47" s="43" t="s">
        <v>1819</v>
      </c>
      <c r="C47" s="539" t="str">
        <f t="shared" si="5"/>
        <v xml:space="preserve">En el mes de mayo se realizaron dos  (2)  capacitaciones a  administradores y/o usuarios  del Sistema Distrital para la Gestión de Peticiones Ciudadanas , en la funcionalidad, configuración, manejo y uso general  del sistema. </v>
      </c>
      <c r="D47" s="540"/>
      <c r="E47" s="540"/>
      <c r="F47" s="541"/>
      <c r="G47" s="477" t="str">
        <f t="shared" si="6"/>
        <v>N.A</v>
      </c>
      <c r="H47" s="478"/>
      <c r="I47" s="479"/>
      <c r="J47" s="477" t="str">
        <f t="shared" si="7"/>
        <v xml:space="preserve">Se  fortalecieron las competencias de 19  servidores para operar y administrar el Sistema Distrital para la gestión de peticiones ciudadanas.     </v>
      </c>
      <c r="K47" s="478"/>
      <c r="L47" s="498"/>
    </row>
    <row r="48" spans="1:12" ht="219" customHeight="1" x14ac:dyDescent="0.3">
      <c r="B48" s="43" t="s">
        <v>1820</v>
      </c>
      <c r="C48" s="539" t="str">
        <f t="shared" si="5"/>
        <v xml:space="preserve">En el mes de junio  se realizaron dos  (2)  capacitaciones a  administradores y/o usuarios  del Sistema Distrital para la Gestión de Peticiones Ciudadanas , en la funcionalidad, configuración, manejo y uso general  del sistema. </v>
      </c>
      <c r="D48" s="540"/>
      <c r="E48" s="540"/>
      <c r="F48" s="541"/>
      <c r="G48" s="477" t="str">
        <f t="shared" si="6"/>
        <v>N.A</v>
      </c>
      <c r="H48" s="478"/>
      <c r="I48" s="479"/>
      <c r="J48" s="477" t="str">
        <f t="shared" si="7"/>
        <v xml:space="preserve">Se  fortalecieron las competencias de 25  servidores(as) para operar y administrar el Sistema Distrital para la gestión de peticiones ciudadanas.     </v>
      </c>
      <c r="K48" s="478"/>
      <c r="L48" s="498"/>
    </row>
    <row r="49" spans="1:13" ht="15" thickBot="1" x14ac:dyDescent="0.35"/>
    <row r="50" spans="1:13" ht="39" customHeight="1" thickBot="1" x14ac:dyDescent="0.35">
      <c r="B50" s="45" t="s">
        <v>1826</v>
      </c>
      <c r="C50" s="543" t="str">
        <f>+D10</f>
        <v>Dirección Distrital de Calidad del Servicio</v>
      </c>
      <c r="D50" s="544"/>
      <c r="E50" s="46" t="s">
        <v>1827</v>
      </c>
      <c r="F50" s="542" t="str">
        <f>+IFERROR(VLOOKUP(C50,responsables,3,0),"")</f>
        <v>Dorían de Jesús Coquies Maestre</v>
      </c>
      <c r="G50" s="542"/>
      <c r="H50" s="542"/>
      <c r="I50" s="46" t="s">
        <v>1828</v>
      </c>
      <c r="J50" s="542" t="str">
        <f>+IFERROR(VLOOKUP(K9,gestores,4,0),"")</f>
        <v>María Cristina Vélez Villamarín</v>
      </c>
      <c r="K50" s="542"/>
      <c r="L50" s="542"/>
    </row>
    <row r="51" spans="1:13" ht="15" thickBot="1" x14ac:dyDescent="0.35"/>
    <row r="52" spans="1:13" ht="15.6" x14ac:dyDescent="0.3">
      <c r="B52" s="546" t="s">
        <v>1829</v>
      </c>
      <c r="C52" s="547"/>
      <c r="D52" s="547"/>
      <c r="E52" s="547"/>
      <c r="F52" s="547"/>
      <c r="G52" s="547"/>
      <c r="H52" s="547"/>
      <c r="I52" s="547"/>
      <c r="J52" s="547"/>
      <c r="K52" s="547"/>
      <c r="L52" s="548"/>
    </row>
    <row r="53" spans="1:13" x14ac:dyDescent="0.3">
      <c r="B53" s="47"/>
      <c r="C53" s="47"/>
      <c r="D53" s="47"/>
      <c r="E53" s="47"/>
      <c r="F53" s="545" t="s">
        <v>1830</v>
      </c>
      <c r="G53" s="545"/>
      <c r="H53" s="545" t="s">
        <v>1831</v>
      </c>
      <c r="I53" s="545"/>
      <c r="J53" s="545" t="s">
        <v>1832</v>
      </c>
      <c r="K53" s="545"/>
      <c r="L53" s="545" t="s">
        <v>1833</v>
      </c>
      <c r="M53" s="545"/>
    </row>
    <row r="54" spans="1:13" x14ac:dyDescent="0.3">
      <c r="B54" s="559" t="s">
        <v>1834</v>
      </c>
      <c r="C54" s="560"/>
      <c r="D54" s="561"/>
      <c r="E54" s="551" t="s">
        <v>1835</v>
      </c>
      <c r="F54" s="551"/>
      <c r="G54" s="551" t="s">
        <v>1836</v>
      </c>
      <c r="H54" s="551"/>
      <c r="I54" s="551" t="s">
        <v>1837</v>
      </c>
      <c r="J54" s="551"/>
      <c r="K54" s="551" t="s">
        <v>1838</v>
      </c>
      <c r="L54" s="552"/>
    </row>
    <row r="55" spans="1:13" ht="39.9" customHeight="1" x14ac:dyDescent="0.3">
      <c r="A55" s="120" t="s">
        <v>30</v>
      </c>
      <c r="B55" s="553" t="s">
        <v>1839</v>
      </c>
      <c r="C55" s="554"/>
      <c r="D55" s="555"/>
      <c r="E55" s="549" t="str">
        <f t="shared" ref="E55:E65" si="8">+VLOOKUP($K$9,bd,MATCH("T1_"&amp;$A55,bdfila,0),0)</f>
        <v>Cumple</v>
      </c>
      <c r="F55" s="550"/>
      <c r="G55" s="549" t="str">
        <f t="shared" ref="G55:G65" si="9">+VLOOKUP($K$9,bd,MATCH("T2_"&amp;$A55,bdfila,0),0)</f>
        <v>Cumple</v>
      </c>
      <c r="H55" s="550"/>
      <c r="I55" s="549" t="str">
        <f t="shared" ref="I55:I65" si="10">IFERROR(VLOOKUP($K$9,bd,MATCH("T3_"&amp;$A55,bdfila,0),0),"No Aplica")</f>
        <v>No Aplica</v>
      </c>
      <c r="J55" s="550"/>
      <c r="K55" s="549" t="str">
        <f t="shared" ref="K55:K65" si="11">IFERROR(VLOOKUP($K$9,bd,MATCH("T4_"&amp;$A53,bdfila,0),0),"No Aplica")</f>
        <v>No Aplica</v>
      </c>
      <c r="L55" s="550"/>
    </row>
    <row r="56" spans="1:13" ht="39.9" customHeight="1" x14ac:dyDescent="0.3">
      <c r="A56" s="120" t="s">
        <v>31</v>
      </c>
      <c r="B56" s="553" t="s">
        <v>1840</v>
      </c>
      <c r="C56" s="554"/>
      <c r="D56" s="555"/>
      <c r="E56" s="549" t="str">
        <f t="shared" si="8"/>
        <v>Cumplido</v>
      </c>
      <c r="F56" s="550"/>
      <c r="G56" s="549" t="str">
        <f t="shared" si="9"/>
        <v>Cumplido</v>
      </c>
      <c r="H56" s="550"/>
      <c r="I56" s="549" t="str">
        <f t="shared" si="10"/>
        <v>No Aplica</v>
      </c>
      <c r="J56" s="550"/>
      <c r="K56" s="549" t="str">
        <f t="shared" si="11"/>
        <v>No Aplica</v>
      </c>
      <c r="L56" s="550"/>
    </row>
    <row r="57" spans="1:13" ht="39.9" customHeight="1" x14ac:dyDescent="0.3">
      <c r="A57" s="120" t="s">
        <v>32</v>
      </c>
      <c r="B57" s="553" t="s">
        <v>1841</v>
      </c>
      <c r="C57" s="554"/>
      <c r="D57" s="555"/>
      <c r="E57" s="549" t="str">
        <f t="shared" si="8"/>
        <v>Adecuado</v>
      </c>
      <c r="F57" s="550"/>
      <c r="G57" s="549" t="str">
        <f t="shared" si="9"/>
        <v>Adecuado</v>
      </c>
      <c r="H57" s="550"/>
      <c r="I57" s="549" t="str">
        <f t="shared" si="10"/>
        <v>No Aplica</v>
      </c>
      <c r="J57" s="550"/>
      <c r="K57" s="549" t="str">
        <f t="shared" si="11"/>
        <v>No Aplica</v>
      </c>
      <c r="L57" s="550"/>
    </row>
    <row r="58" spans="1:13" ht="39.9" customHeight="1" x14ac:dyDescent="0.3">
      <c r="A58" s="120" t="s">
        <v>33</v>
      </c>
      <c r="B58" s="553" t="s">
        <v>1842</v>
      </c>
      <c r="C58" s="554"/>
      <c r="D58" s="555"/>
      <c r="E58" s="549" t="str">
        <f t="shared" si="8"/>
        <v>Coherente</v>
      </c>
      <c r="F58" s="550"/>
      <c r="G58" s="549" t="str">
        <f t="shared" si="9"/>
        <v>Coherente</v>
      </c>
      <c r="H58" s="550"/>
      <c r="I58" s="549" t="str">
        <f t="shared" si="10"/>
        <v>No Aplica</v>
      </c>
      <c r="J58" s="550"/>
      <c r="K58" s="549" t="str">
        <f t="shared" si="11"/>
        <v>No Aplica</v>
      </c>
      <c r="L58" s="550"/>
    </row>
    <row r="59" spans="1:13" ht="39.9" customHeight="1" x14ac:dyDescent="0.3">
      <c r="A59" s="120" t="s">
        <v>34</v>
      </c>
      <c r="B59" s="553" t="s">
        <v>1843</v>
      </c>
      <c r="C59" s="554"/>
      <c r="D59" s="555"/>
      <c r="E59" s="549" t="str">
        <f t="shared" si="8"/>
        <v>Concuerda</v>
      </c>
      <c r="F59" s="550"/>
      <c r="G59" s="549" t="str">
        <f t="shared" si="9"/>
        <v>Concuerda</v>
      </c>
      <c r="H59" s="550"/>
      <c r="I59" s="549" t="str">
        <f t="shared" si="10"/>
        <v>No Aplica</v>
      </c>
      <c r="J59" s="550"/>
      <c r="K59" s="549" t="str">
        <f t="shared" si="11"/>
        <v>No Aplica</v>
      </c>
      <c r="L59" s="550"/>
    </row>
    <row r="60" spans="1:13" ht="39.9" customHeight="1" x14ac:dyDescent="0.3">
      <c r="A60" s="120" t="s">
        <v>35</v>
      </c>
      <c r="B60" s="553" t="s">
        <v>1844</v>
      </c>
      <c r="C60" s="554"/>
      <c r="D60" s="555"/>
      <c r="E60" s="549" t="str">
        <f t="shared" si="8"/>
        <v>Concuerda</v>
      </c>
      <c r="F60" s="550"/>
      <c r="G60" s="549" t="str">
        <f t="shared" si="9"/>
        <v>Concuerda</v>
      </c>
      <c r="H60" s="550"/>
      <c r="I60" s="549" t="str">
        <f t="shared" si="10"/>
        <v>No Aplica</v>
      </c>
      <c r="J60" s="550"/>
      <c r="K60" s="549" t="str">
        <f t="shared" si="11"/>
        <v>No Aplica</v>
      </c>
      <c r="L60" s="550"/>
    </row>
    <row r="61" spans="1:13" ht="39.9" customHeight="1" x14ac:dyDescent="0.3">
      <c r="A61" s="120" t="s">
        <v>36</v>
      </c>
      <c r="B61" s="553" t="s">
        <v>1845</v>
      </c>
      <c r="C61" s="554"/>
      <c r="D61" s="555"/>
      <c r="E61" s="549">
        <f t="shared" si="8"/>
        <v>0</v>
      </c>
      <c r="F61" s="550"/>
      <c r="G61" s="549">
        <f t="shared" si="9"/>
        <v>0</v>
      </c>
      <c r="H61" s="550"/>
      <c r="I61" s="549" t="str">
        <f t="shared" si="10"/>
        <v>No Aplica</v>
      </c>
      <c r="J61" s="550"/>
      <c r="K61" s="549" t="str">
        <f t="shared" si="11"/>
        <v>No Aplica</v>
      </c>
      <c r="L61" s="550"/>
    </row>
    <row r="62" spans="1:13" ht="39.9" customHeight="1" x14ac:dyDescent="0.3">
      <c r="A62" s="120" t="s">
        <v>37</v>
      </c>
      <c r="B62" s="553" t="s">
        <v>1846</v>
      </c>
      <c r="C62" s="554"/>
      <c r="D62" s="555"/>
      <c r="E62" s="549" t="str">
        <f t="shared" si="8"/>
        <v>Adecuado</v>
      </c>
      <c r="F62" s="550"/>
      <c r="G62" s="549" t="str">
        <f t="shared" si="9"/>
        <v>Adecuado</v>
      </c>
      <c r="H62" s="550"/>
      <c r="I62" s="549" t="str">
        <f t="shared" si="10"/>
        <v>No Aplica</v>
      </c>
      <c r="J62" s="550"/>
      <c r="K62" s="549" t="str">
        <f t="shared" si="11"/>
        <v>No Aplica</v>
      </c>
      <c r="L62" s="550"/>
    </row>
    <row r="63" spans="1:13" ht="39.9" customHeight="1" x14ac:dyDescent="0.3">
      <c r="A63" s="120" t="s">
        <v>38</v>
      </c>
      <c r="B63" s="553" t="s">
        <v>1847</v>
      </c>
      <c r="C63" s="554"/>
      <c r="D63" s="555"/>
      <c r="E63" s="549" t="str">
        <f t="shared" si="8"/>
        <v>Oportuna</v>
      </c>
      <c r="F63" s="550"/>
      <c r="G63" s="549" t="str">
        <f t="shared" si="9"/>
        <v>Oportuna</v>
      </c>
      <c r="H63" s="550"/>
      <c r="I63" s="549" t="str">
        <f t="shared" si="10"/>
        <v>No Aplica</v>
      </c>
      <c r="J63" s="550"/>
      <c r="K63" s="549" t="str">
        <f t="shared" si="11"/>
        <v>No Aplica</v>
      </c>
      <c r="L63" s="550"/>
    </row>
    <row r="64" spans="1:13" ht="194.25" customHeight="1" x14ac:dyDescent="0.3">
      <c r="A64" s="120" t="s">
        <v>1848</v>
      </c>
      <c r="B64" s="553" t="s">
        <v>1849</v>
      </c>
      <c r="C64" s="554"/>
      <c r="D64" s="555"/>
      <c r="E64" s="549" t="str">
        <f t="shared" si="8"/>
        <v>Ninguna</v>
      </c>
      <c r="F64" s="550"/>
      <c r="G64" s="549" t="str">
        <f t="shared" si="9"/>
        <v>Ninguna</v>
      </c>
      <c r="H64" s="550"/>
      <c r="I64" s="549" t="str">
        <f t="shared" si="10"/>
        <v>No Aplica</v>
      </c>
      <c r="J64" s="550"/>
      <c r="K64" s="549" t="str">
        <f t="shared" si="11"/>
        <v>No Aplica</v>
      </c>
      <c r="L64" s="550"/>
    </row>
    <row r="65" spans="1:12" ht="39.75" customHeight="1" x14ac:dyDescent="0.3">
      <c r="A65" s="120" t="s">
        <v>1850</v>
      </c>
      <c r="B65" s="556" t="s">
        <v>1851</v>
      </c>
      <c r="C65" s="557"/>
      <c r="D65" s="558"/>
      <c r="E65" s="549" t="str">
        <f t="shared" si="8"/>
        <v>Marcela Andrea García Guerrero</v>
      </c>
      <c r="F65" s="550"/>
      <c r="G65" s="549" t="str">
        <f t="shared" si="9"/>
        <v>Marcela Andrea García Guerrero</v>
      </c>
      <c r="H65" s="550"/>
      <c r="I65" s="549" t="str">
        <f t="shared" si="10"/>
        <v>No Aplica</v>
      </c>
      <c r="J65" s="550"/>
      <c r="K65" s="549" t="str">
        <f t="shared" si="11"/>
        <v>No Aplica</v>
      </c>
      <c r="L65" s="550"/>
    </row>
    <row r="66" spans="1:12" ht="15" thickBot="1" x14ac:dyDescent="0.35"/>
    <row r="67" spans="1:12" ht="16.2" thickBot="1" x14ac:dyDescent="0.35">
      <c r="B67" s="513" t="s">
        <v>1852</v>
      </c>
      <c r="C67" s="514"/>
      <c r="D67" s="514"/>
      <c r="E67" s="514"/>
      <c r="F67" s="514"/>
      <c r="G67" s="514"/>
      <c r="H67" s="514"/>
      <c r="I67" s="514"/>
      <c r="J67" s="514"/>
      <c r="K67" s="514"/>
      <c r="L67" s="515"/>
    </row>
    <row r="68" spans="1:12" ht="15" thickBot="1" x14ac:dyDescent="0.35">
      <c r="B68" s="516" t="s">
        <v>1797</v>
      </c>
      <c r="C68" s="517"/>
      <c r="D68" s="517"/>
      <c r="E68" s="88" t="s">
        <v>1798</v>
      </c>
      <c r="F68" s="88" t="s">
        <v>1815</v>
      </c>
      <c r="G68" s="88" t="s">
        <v>1816</v>
      </c>
      <c r="H68" s="88" t="s">
        <v>1817</v>
      </c>
      <c r="I68" s="88" t="s">
        <v>1818</v>
      </c>
      <c r="J68" s="88" t="s">
        <v>1819</v>
      </c>
      <c r="K68" s="88" t="s">
        <v>1821</v>
      </c>
      <c r="L68" s="89"/>
    </row>
    <row r="69" spans="1:12" x14ac:dyDescent="0.3">
      <c r="B69" s="518" t="s">
        <v>1853</v>
      </c>
      <c r="C69" s="519"/>
      <c r="D69" s="519"/>
      <c r="E69" s="90"/>
      <c r="F69" s="113" t="str">
        <f t="shared" ref="F69:K69" si="12">+VLOOKUP($K$9,bd,MATCH(F$68&amp;"_P1",bdfila,0),0)</f>
        <v/>
      </c>
      <c r="G69" s="113" t="str">
        <f t="shared" si="12"/>
        <v/>
      </c>
      <c r="H69" s="113" t="str">
        <f t="shared" si="12"/>
        <v/>
      </c>
      <c r="I69" s="113" t="str">
        <f t="shared" si="12"/>
        <v/>
      </c>
      <c r="J69" s="113" t="str">
        <f t="shared" si="12"/>
        <v/>
      </c>
      <c r="K69" s="113" t="str">
        <f t="shared" si="12"/>
        <v/>
      </c>
      <c r="L69" s="91"/>
    </row>
    <row r="70" spans="1:12" x14ac:dyDescent="0.3">
      <c r="B70" s="470" t="s">
        <v>1802</v>
      </c>
      <c r="C70" s="471"/>
      <c r="D70" s="471"/>
      <c r="E70" s="4"/>
      <c r="F70" s="114" t="str">
        <f t="shared" ref="F70:K70" si="13">+VLOOKUP($K$9,bd,MATCH(F$68&amp;"_P2",bdfila,0),0)</f>
        <v/>
      </c>
      <c r="G70" s="114" t="str">
        <f t="shared" si="13"/>
        <v/>
      </c>
      <c r="H70" s="114" t="str">
        <f t="shared" si="13"/>
        <v/>
      </c>
      <c r="I70" s="114" t="str">
        <f t="shared" si="13"/>
        <v/>
      </c>
      <c r="J70" s="114" t="str">
        <f t="shared" si="13"/>
        <v/>
      </c>
      <c r="K70" s="114" t="str">
        <f t="shared" si="13"/>
        <v/>
      </c>
      <c r="L70" s="430"/>
    </row>
    <row r="71" spans="1:12" x14ac:dyDescent="0.3">
      <c r="B71" s="470" t="s">
        <v>1854</v>
      </c>
      <c r="C71" s="471"/>
      <c r="D71" s="471"/>
      <c r="E71" s="4"/>
      <c r="F71" s="114" t="str">
        <f t="shared" ref="F71:K71" si="14">+VLOOKUP($K$9,bd,MATCH(F$68&amp;"_P3",bdfila,0),0)</f>
        <v/>
      </c>
      <c r="G71" s="114" t="str">
        <f t="shared" si="14"/>
        <v/>
      </c>
      <c r="H71" s="114" t="str">
        <f t="shared" si="14"/>
        <v/>
      </c>
      <c r="I71" s="114" t="str">
        <f t="shared" si="14"/>
        <v/>
      </c>
      <c r="J71" s="114" t="str">
        <f t="shared" si="14"/>
        <v/>
      </c>
      <c r="K71" s="114" t="str">
        <f t="shared" si="14"/>
        <v/>
      </c>
      <c r="L71" s="430"/>
    </row>
    <row r="72" spans="1:12" ht="14.4" customHeight="1" x14ac:dyDescent="0.3">
      <c r="B72" s="470" t="s">
        <v>1855</v>
      </c>
      <c r="C72" s="471"/>
      <c r="D72" s="471"/>
      <c r="E72" s="4"/>
      <c r="F72" s="115" t="str">
        <f t="shared" ref="F72:K73" si="15">+IFERROR(F70/F$69,"")</f>
        <v/>
      </c>
      <c r="G72" s="115" t="str">
        <f t="shared" si="15"/>
        <v/>
      </c>
      <c r="H72" s="115" t="str">
        <f t="shared" si="15"/>
        <v/>
      </c>
      <c r="I72" s="115" t="str">
        <f t="shared" si="15"/>
        <v/>
      </c>
      <c r="J72" s="115" t="str">
        <f t="shared" si="15"/>
        <v/>
      </c>
      <c r="K72" s="115" t="str">
        <f t="shared" si="15"/>
        <v/>
      </c>
      <c r="L72" s="430"/>
    </row>
    <row r="73" spans="1:12" ht="14.4" customHeight="1" thickBot="1" x14ac:dyDescent="0.35">
      <c r="B73" s="472" t="s">
        <v>1856</v>
      </c>
      <c r="C73" s="473"/>
      <c r="D73" s="473"/>
      <c r="E73" s="4"/>
      <c r="F73" s="115" t="str">
        <f t="shared" si="15"/>
        <v/>
      </c>
      <c r="G73" s="115" t="str">
        <f t="shared" si="15"/>
        <v/>
      </c>
      <c r="H73" s="115" t="str">
        <f t="shared" si="15"/>
        <v/>
      </c>
      <c r="I73" s="115" t="str">
        <f t="shared" si="15"/>
        <v/>
      </c>
      <c r="J73" s="115" t="str">
        <f t="shared" si="15"/>
        <v/>
      </c>
      <c r="K73" s="115" t="str">
        <f t="shared" si="15"/>
        <v/>
      </c>
      <c r="L73" s="430"/>
    </row>
    <row r="74" spans="1:12" ht="14.4" customHeight="1" thickBot="1" x14ac:dyDescent="0.35">
      <c r="B74" s="472" t="s">
        <v>1857</v>
      </c>
      <c r="C74" s="473"/>
      <c r="D74" s="473"/>
      <c r="E74" s="7"/>
      <c r="F74" s="116" t="str">
        <f t="shared" ref="F74:K74" si="16">+IFERROR(F71/F$70,"")</f>
        <v/>
      </c>
      <c r="G74" s="116" t="str">
        <f t="shared" si="16"/>
        <v/>
      </c>
      <c r="H74" s="116" t="str">
        <f t="shared" si="16"/>
        <v/>
      </c>
      <c r="I74" s="116" t="str">
        <f t="shared" si="16"/>
        <v/>
      </c>
      <c r="J74" s="116" t="str">
        <f t="shared" si="16"/>
        <v/>
      </c>
      <c r="K74" s="116" t="str">
        <f t="shared" si="16"/>
        <v/>
      </c>
      <c r="L74" s="8"/>
    </row>
    <row r="75" spans="1:12" x14ac:dyDescent="0.3">
      <c r="B75" s="520" t="s">
        <v>1858</v>
      </c>
      <c r="C75" s="521"/>
      <c r="D75" s="521"/>
      <c r="E75" s="86"/>
      <c r="F75" s="117" t="str">
        <f t="shared" ref="F75:K75" si="17">+VLOOKUP($K$9,bd,MATCH(F$68&amp;"_P4",bdfila,0),0)</f>
        <v/>
      </c>
      <c r="G75" s="117" t="str">
        <f t="shared" si="17"/>
        <v/>
      </c>
      <c r="H75" s="117" t="str">
        <f t="shared" si="17"/>
        <v/>
      </c>
      <c r="I75" s="117" t="str">
        <f t="shared" si="17"/>
        <v/>
      </c>
      <c r="J75" s="117" t="str">
        <f t="shared" si="17"/>
        <v/>
      </c>
      <c r="K75" s="117" t="str">
        <f t="shared" si="17"/>
        <v/>
      </c>
      <c r="L75" s="87"/>
    </row>
    <row r="76" spans="1:12" x14ac:dyDescent="0.3">
      <c r="B76" s="470" t="s">
        <v>1859</v>
      </c>
      <c r="C76" s="471"/>
      <c r="D76" s="471"/>
      <c r="E76" s="4"/>
      <c r="F76" s="114" t="str">
        <f t="shared" ref="F76:K76" si="18">+VLOOKUP($K$9,bd,MATCH(F$68&amp;"_P5",bdfila,0),0)</f>
        <v/>
      </c>
      <c r="G76" s="114" t="str">
        <f t="shared" si="18"/>
        <v/>
      </c>
      <c r="H76" s="114" t="str">
        <f t="shared" si="18"/>
        <v/>
      </c>
      <c r="I76" s="114" t="str">
        <f t="shared" si="18"/>
        <v/>
      </c>
      <c r="J76" s="114" t="str">
        <f t="shared" si="18"/>
        <v/>
      </c>
      <c r="K76" s="114" t="str">
        <f t="shared" si="18"/>
        <v/>
      </c>
      <c r="L76" s="430"/>
    </row>
    <row r="77" spans="1:12" ht="15" thickBot="1" x14ac:dyDescent="0.35">
      <c r="B77" s="472" t="s">
        <v>1860</v>
      </c>
      <c r="C77" s="473"/>
      <c r="D77" s="473"/>
      <c r="E77" s="7"/>
      <c r="F77" s="116" t="str">
        <f t="shared" ref="F77:K77" si="19">+IFERROR(F76/F$75,"")</f>
        <v/>
      </c>
      <c r="G77" s="116" t="str">
        <f t="shared" si="19"/>
        <v/>
      </c>
      <c r="H77" s="116" t="str">
        <f t="shared" si="19"/>
        <v/>
      </c>
      <c r="I77" s="116" t="str">
        <f t="shared" si="19"/>
        <v/>
      </c>
      <c r="J77" s="116" t="str">
        <f t="shared" si="19"/>
        <v/>
      </c>
      <c r="K77" s="116" t="str">
        <f t="shared" si="19"/>
        <v/>
      </c>
      <c r="L77" s="8" t="str">
        <f>+IFERROR(L75/L$69,"")</f>
        <v/>
      </c>
    </row>
    <row r="78" spans="1:12" x14ac:dyDescent="0.3"/>
    <row r="79" spans="1:12" x14ac:dyDescent="0.3"/>
    <row r="80" spans="1:12" x14ac:dyDescent="0.3"/>
    <row r="81" x14ac:dyDescent="0.3"/>
  </sheetData>
  <sheetProtection algorithmName="SHA-512" hashValue="vm6jYrK491eWeFeXAamG2o/PlHD8+d05OnBJa1XhntgYBqXnJLzAxgnHSMoMymiN3tmL9icIqBWyMm9W8DWy/A==" saltValue="PwM5joCFfvNUWMc5AR12bw==" spinCount="100000" sheet="1" formatRows="0"/>
  <protectedRanges>
    <protectedRange algorithmName="SHA-512" hashValue="V07MQK65Zgv0l4aswNy5EfCxCZGABjasdg6rBXGu8TE7W2ereI2gIV0q7uHABUSZXG+RKfrz7ydKslm9iCwmpg==" saltValue="ivHhFB6Md1/+crpfkNFukw==" spinCount="100000" sqref="D10" name="ElegirIndicador_5_1"/>
    <protectedRange algorithmName="SHA-512" hashValue="V07MQK65Zgv0l4aswNy5EfCxCZGABjasdg6rBXGu8TE7W2ereI2gIV0q7uHABUSZXG+RKfrz7ydKslm9iCwmpg==" saltValue="ivHhFB6Md1/+crpfkNFukw==" spinCount="100000" sqref="K9" name="ElegirIndicador_5_2"/>
  </protectedRanges>
  <mergeCells count="154">
    <mergeCell ref="B60:D60"/>
    <mergeCell ref="B61:D61"/>
    <mergeCell ref="B62:D62"/>
    <mergeCell ref="B63:D63"/>
    <mergeCell ref="B64:D64"/>
    <mergeCell ref="B65:D65"/>
    <mergeCell ref="B54:D54"/>
    <mergeCell ref="B55:D55"/>
    <mergeCell ref="B56:D56"/>
    <mergeCell ref="B57:D57"/>
    <mergeCell ref="B58:D58"/>
    <mergeCell ref="B59:D59"/>
    <mergeCell ref="E64:F64"/>
    <mergeCell ref="G64:H64"/>
    <mergeCell ref="I64:J64"/>
    <mergeCell ref="K64:L64"/>
    <mergeCell ref="E65:F65"/>
    <mergeCell ref="G65:H65"/>
    <mergeCell ref="I65:J65"/>
    <mergeCell ref="K65:L65"/>
    <mergeCell ref="E62:F62"/>
    <mergeCell ref="G62:H62"/>
    <mergeCell ref="I62:J62"/>
    <mergeCell ref="K62:L62"/>
    <mergeCell ref="E63:F63"/>
    <mergeCell ref="G63:H63"/>
    <mergeCell ref="I63:J63"/>
    <mergeCell ref="K63:L63"/>
    <mergeCell ref="E60:F60"/>
    <mergeCell ref="G60:H60"/>
    <mergeCell ref="I60:J60"/>
    <mergeCell ref="K60:L60"/>
    <mergeCell ref="E61:F61"/>
    <mergeCell ref="G61:H61"/>
    <mergeCell ref="I61:J61"/>
    <mergeCell ref="K61:L61"/>
    <mergeCell ref="E58:F58"/>
    <mergeCell ref="G58:H58"/>
    <mergeCell ref="I58:J58"/>
    <mergeCell ref="K58:L58"/>
    <mergeCell ref="E59:F59"/>
    <mergeCell ref="G59:H59"/>
    <mergeCell ref="I59:J59"/>
    <mergeCell ref="K59:L59"/>
    <mergeCell ref="E56:F56"/>
    <mergeCell ref="G56:H56"/>
    <mergeCell ref="I56:J56"/>
    <mergeCell ref="K56:L56"/>
    <mergeCell ref="E57:F57"/>
    <mergeCell ref="G57:H57"/>
    <mergeCell ref="I57:J57"/>
    <mergeCell ref="K57:L57"/>
    <mergeCell ref="E54:F54"/>
    <mergeCell ref="G54:H54"/>
    <mergeCell ref="I54:J54"/>
    <mergeCell ref="K54:L54"/>
    <mergeCell ref="E55:F55"/>
    <mergeCell ref="G55:H55"/>
    <mergeCell ref="I55:J55"/>
    <mergeCell ref="K55:L55"/>
    <mergeCell ref="F50:H50"/>
    <mergeCell ref="J50:L50"/>
    <mergeCell ref="C50:D50"/>
    <mergeCell ref="F53:G53"/>
    <mergeCell ref="H53:I53"/>
    <mergeCell ref="J53:K53"/>
    <mergeCell ref="L53:M53"/>
    <mergeCell ref="B52:L52"/>
    <mergeCell ref="C47:F47"/>
    <mergeCell ref="J47:L47"/>
    <mergeCell ref="C48:F48"/>
    <mergeCell ref="G48:I48"/>
    <mergeCell ref="J48:L48"/>
    <mergeCell ref="G43:I43"/>
    <mergeCell ref="G44:I44"/>
    <mergeCell ref="G45:I45"/>
    <mergeCell ref="G46:I46"/>
    <mergeCell ref="G47:I47"/>
    <mergeCell ref="C45:F45"/>
    <mergeCell ref="J45:L45"/>
    <mergeCell ref="C46:F46"/>
    <mergeCell ref="J46:L46"/>
    <mergeCell ref="C43:F43"/>
    <mergeCell ref="J43:L43"/>
    <mergeCell ref="C44:F44"/>
    <mergeCell ref="J44:L44"/>
    <mergeCell ref="B30:G30"/>
    <mergeCell ref="B28:L28"/>
    <mergeCell ref="C42:F42"/>
    <mergeCell ref="J42:L42"/>
    <mergeCell ref="B26:L26"/>
    <mergeCell ref="B24:C24"/>
    <mergeCell ref="D24:I24"/>
    <mergeCell ref="J24:J25"/>
    <mergeCell ref="K24:L25"/>
    <mergeCell ref="C25:E25"/>
    <mergeCell ref="G25:I25"/>
    <mergeCell ref="B41:L41"/>
    <mergeCell ref="G42:I42"/>
    <mergeCell ref="C22:D22"/>
    <mergeCell ref="F22:G22"/>
    <mergeCell ref="I22:J22"/>
    <mergeCell ref="C23:D23"/>
    <mergeCell ref="F23:G23"/>
    <mergeCell ref="I23:J23"/>
    <mergeCell ref="B20:C20"/>
    <mergeCell ref="D20:F20"/>
    <mergeCell ref="H20:L20"/>
    <mergeCell ref="B21:C21"/>
    <mergeCell ref="D21:F21"/>
    <mergeCell ref="H21:I21"/>
    <mergeCell ref="K21:L21"/>
    <mergeCell ref="B17:L17"/>
    <mergeCell ref="B18:L18"/>
    <mergeCell ref="B19:L19"/>
    <mergeCell ref="B13:L13"/>
    <mergeCell ref="B14:C14"/>
    <mergeCell ref="F14:H14"/>
    <mergeCell ref="J14:L14"/>
    <mergeCell ref="B15:C15"/>
    <mergeCell ref="D15:L15"/>
    <mergeCell ref="B11:L11"/>
    <mergeCell ref="B12:L12"/>
    <mergeCell ref="B7:L7"/>
    <mergeCell ref="B8:I8"/>
    <mergeCell ref="K8:L8"/>
    <mergeCell ref="B9:C9"/>
    <mergeCell ref="D9:I9"/>
    <mergeCell ref="K9:L9"/>
    <mergeCell ref="B16:D16"/>
    <mergeCell ref="F16:H16"/>
    <mergeCell ref="J16:L16"/>
    <mergeCell ref="B2:C5"/>
    <mergeCell ref="D2:L2"/>
    <mergeCell ref="D3:L3"/>
    <mergeCell ref="D4:L4"/>
    <mergeCell ref="D5:L5"/>
    <mergeCell ref="I6:J6"/>
    <mergeCell ref="K6:L6"/>
    <mergeCell ref="B10:C10"/>
    <mergeCell ref="D10:F10"/>
    <mergeCell ref="H10:I10"/>
    <mergeCell ref="K10:L10"/>
    <mergeCell ref="B67:L67"/>
    <mergeCell ref="B68:D68"/>
    <mergeCell ref="B73:D73"/>
    <mergeCell ref="B74:D74"/>
    <mergeCell ref="B76:D76"/>
    <mergeCell ref="B77:D77"/>
    <mergeCell ref="B69:D69"/>
    <mergeCell ref="B70:D70"/>
    <mergeCell ref="B71:D71"/>
    <mergeCell ref="B75:D75"/>
    <mergeCell ref="B72:D72"/>
  </mergeCells>
  <phoneticPr fontId="11" type="noConversion"/>
  <dataValidations count="1">
    <dataValidation type="list" allowBlank="1" showInputMessage="1" showErrorMessage="1" sqref="K9:L9" xr:uid="{00000000-0002-0000-0700-000000000000}">
      <formula1>INDIRECT(VLOOKUP($D$10,responsables,8,0))</formula1>
    </dataValidation>
  </dataValidations>
  <pageMargins left="0.23622047244094491" right="0.23622047244094491" top="0.19685039370078741" bottom="0.74803149606299213" header="0.31496062992125984" footer="0.31496062992125984"/>
  <pageSetup paperSize="9" scale="5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Listas!$A$145:$A$171</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CAA809D876F824D82FB180D297B1301" ma:contentTypeVersion="13" ma:contentTypeDescription="Crear nuevo documento." ma:contentTypeScope="" ma:versionID="e0904143f6397574daca6865c2b4c0c8">
  <xsd:schema xmlns:xsd="http://www.w3.org/2001/XMLSchema" xmlns:xs="http://www.w3.org/2001/XMLSchema" xmlns:p="http://schemas.microsoft.com/office/2006/metadata/properties" xmlns:ns3="fc9dc110-a187-47de-aa5d-af75a14ddece" xmlns:ns4="0bfd47cc-07f3-424a-8b82-b553c6c89ac2" targetNamespace="http://schemas.microsoft.com/office/2006/metadata/properties" ma:root="true" ma:fieldsID="193486254de18288570694a4ce6314a9" ns3:_="" ns4:_="">
    <xsd:import namespace="fc9dc110-a187-47de-aa5d-af75a14ddece"/>
    <xsd:import namespace="0bfd47cc-07f3-424a-8b82-b553c6c89a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9dc110-a187-47de-aa5d-af75a14ddec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fd47cc-07f3-424a-8b82-b553c6c89a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0641A8-DBD8-4B72-B500-2C20F4C64BE7}">
  <ds:schemaRefs>
    <ds:schemaRef ds:uri="fc9dc110-a187-47de-aa5d-af75a14ddece"/>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0bfd47cc-07f3-424a-8b82-b553c6c89ac2"/>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36DA7C5B-78CC-4A8E-AF14-5562DF533EA4}">
  <ds:schemaRefs>
    <ds:schemaRef ds:uri="http://schemas.microsoft.com/sharepoint/v3/contenttype/forms"/>
  </ds:schemaRefs>
</ds:datastoreItem>
</file>

<file path=customXml/itemProps3.xml><?xml version="1.0" encoding="utf-8"?>
<ds:datastoreItem xmlns:ds="http://schemas.openxmlformats.org/officeDocument/2006/customXml" ds:itemID="{28C01E48-C0EE-4000-B30B-2DA6668C08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9dc110-a187-47de-aa5d-af75a14ddece"/>
    <ds:schemaRef ds:uri="0bfd47cc-07f3-424a-8b82-b553c6c89a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56</vt:i4>
      </vt:variant>
    </vt:vector>
  </HeadingPairs>
  <TitlesOfParts>
    <vt:vector size="80" baseType="lpstr">
      <vt:lpstr>Indicaciones</vt:lpstr>
      <vt:lpstr>Sugerencias</vt:lpstr>
      <vt:lpstr>Listas</vt:lpstr>
      <vt:lpstr>RepConsolidado</vt:lpstr>
      <vt:lpstr>BD_Actividades</vt:lpstr>
      <vt:lpstr>BD_metas</vt:lpstr>
      <vt:lpstr>HV_indicador</vt:lpstr>
      <vt:lpstr>Presentacion</vt:lpstr>
      <vt:lpstr>Ficha_ID</vt:lpstr>
      <vt:lpstr>Plataforma estratégica</vt:lpstr>
      <vt:lpstr>Modelo de Op. por procesos</vt:lpstr>
      <vt:lpstr>Control_cambios</vt:lpstr>
      <vt:lpstr>PAAC</vt:lpstr>
      <vt:lpstr>Oficinas</vt:lpstr>
      <vt:lpstr>Consejerías</vt:lpstr>
      <vt:lpstr>Sub. Técnica</vt:lpstr>
      <vt:lpstr>Ciudadano</vt:lpstr>
      <vt:lpstr>Corporativa</vt:lpstr>
      <vt:lpstr>R_PAAC</vt:lpstr>
      <vt:lpstr>R_Consejerías</vt:lpstr>
      <vt:lpstr>R_Sub. Técnica</vt:lpstr>
      <vt:lpstr>R_Ciudadano</vt:lpstr>
      <vt:lpstr>R_Oficinas</vt:lpstr>
      <vt:lpstr>R_Corporativa</vt:lpstr>
      <vt:lpstr>_FilterDatabase</vt:lpstr>
      <vt:lpstr>actividades</vt:lpstr>
      <vt:lpstr>arc</vt:lpstr>
      <vt:lpstr>'Modelo de Op. por procesos'!Área_de_impresión</vt:lpstr>
      <vt:lpstr>ati</vt:lpstr>
      <vt:lpstr>bd</vt:lpstr>
      <vt:lpstr>bdfila</vt:lpstr>
      <vt:lpstr>cad</vt:lpstr>
      <vt:lpstr>cal</vt:lpstr>
      <vt:lpstr>Ciudadano_1</vt:lpstr>
      <vt:lpstr>Ciudadano_2</vt:lpstr>
      <vt:lpstr>Ciudadano_R</vt:lpstr>
      <vt:lpstr>Consejerias_1</vt:lpstr>
      <vt:lpstr>Consejerias_2</vt:lpstr>
      <vt:lpstr>Consejerias_R</vt:lpstr>
      <vt:lpstr>consolidado</vt:lpstr>
      <vt:lpstr>consolidadofila</vt:lpstr>
      <vt:lpstr>Corporativa_1</vt:lpstr>
      <vt:lpstr>Corporativa_2</vt:lpstr>
      <vt:lpstr>Corporativa_R</vt:lpstr>
      <vt:lpstr>daf</vt:lpstr>
      <vt:lpstr>ddi</vt:lpstr>
      <vt:lpstr>dependencia</vt:lpstr>
      <vt:lpstr>dri</vt:lpstr>
      <vt:lpstr>dth</vt:lpstr>
      <vt:lpstr>fin</vt:lpstr>
      <vt:lpstr>gestores</vt:lpstr>
      <vt:lpstr>imp</vt:lpstr>
      <vt:lpstr>ivc</vt:lpstr>
      <vt:lpstr>oaj</vt:lpstr>
      <vt:lpstr>oap</vt:lpstr>
      <vt:lpstr>oav</vt:lpstr>
      <vt:lpstr>occ</vt:lpstr>
      <vt:lpstr>ocd</vt:lpstr>
      <vt:lpstr>oci</vt:lpstr>
      <vt:lpstr>Oficinas_1</vt:lpstr>
      <vt:lpstr>Oficinas_2</vt:lpstr>
      <vt:lpstr>Oficinas_R</vt:lpstr>
      <vt:lpstr>oti</vt:lpstr>
      <vt:lpstr>PAAC_1</vt:lpstr>
      <vt:lpstr>PAAC_2</vt:lpstr>
      <vt:lpstr>PAAC_R</vt:lpstr>
      <vt:lpstr>pro</vt:lpstr>
      <vt:lpstr>proyectos</vt:lpstr>
      <vt:lpstr>responsables</vt:lpstr>
      <vt:lpstr>sar</vt:lpstr>
      <vt:lpstr>sci</vt:lpstr>
      <vt:lpstr>sco</vt:lpstr>
      <vt:lpstr>spi</vt:lpstr>
      <vt:lpstr>ssa</vt:lpstr>
      <vt:lpstr>sta</vt:lpstr>
      <vt:lpstr>std</vt:lpstr>
      <vt:lpstr>Subtecnica_1</vt:lpstr>
      <vt:lpstr>Subtecnica_2</vt:lpstr>
      <vt:lpstr>Subtecnica_R</vt:lpstr>
      <vt:lpstr>tec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SEBASTIAN</dc:creator>
  <cp:keywords/>
  <dc:description/>
  <cp:lastModifiedBy>Marcela Garcia</cp:lastModifiedBy>
  <cp:revision/>
  <cp:lastPrinted>2020-12-02T05:34:47Z</cp:lastPrinted>
  <dcterms:created xsi:type="dcterms:W3CDTF">2020-04-20T13:23:16Z</dcterms:created>
  <dcterms:modified xsi:type="dcterms:W3CDTF">2020-12-02T06:04:23Z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0x010100ACAA809D876F824D82FB180D297B1301</vt:lpwstr>
  </property>
</Properties>
</file>