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mc:AlternateContent xmlns:mc="http://schemas.openxmlformats.org/markup-compatibility/2006">
    <mc:Choice Requires="x15">
      <x15ac:absPath xmlns:x15ac="http://schemas.microsoft.com/office/spreadsheetml/2010/11/ac" url="E:\Alcaldía Bogotá\Metodología riesgos Alcaldía\31 Macro ene 2024\"/>
    </mc:Choice>
  </mc:AlternateContent>
  <bookViews>
    <workbookView xWindow="-120" yWindow="-120" windowWidth="20730" windowHeight="11040" tabRatio="924" firstSheet="3" activeTab="3"/>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Mapa_riesgos!$A$11:$EU$11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Mapa_riesgos!$A$1:$AP$31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62913"/>
  <pivotCaches>
    <pivotCache cacheId="16" r:id="rId12"/>
    <pivotCache cacheId="17"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P31" i="41" l="1"/>
  <c r="EQ31" i="41" s="1"/>
  <c r="ER31" i="41" s="1"/>
  <c r="EP30" i="41"/>
  <c r="EQ30" i="41" s="1"/>
  <c r="ER30" i="41" s="1"/>
  <c r="EP29" i="41"/>
  <c r="EQ29" i="41" s="1"/>
  <c r="ER29" i="41" s="1"/>
  <c r="EP28" i="41"/>
  <c r="EQ28" i="41" s="1"/>
  <c r="ER28" i="41" s="1"/>
  <c r="EP27" i="41"/>
  <c r="EQ27" i="41" s="1"/>
  <c r="ER27" i="41" s="1"/>
  <c r="EP26" i="41"/>
  <c r="EQ26" i="41" s="1"/>
  <c r="ER26" i="41" s="1"/>
  <c r="EP25" i="41"/>
  <c r="EQ25" i="41" s="1"/>
  <c r="ER25" i="41" s="1"/>
  <c r="EP24" i="41"/>
  <c r="EQ24" i="41" s="1"/>
  <c r="ER24" i="41" s="1"/>
  <c r="EP23" i="41"/>
  <c r="EQ23" i="41" s="1"/>
  <c r="ER23" i="41" s="1"/>
  <c r="EP22" i="41"/>
  <c r="EQ22" i="41" s="1"/>
  <c r="ER22" i="41" s="1"/>
  <c r="EP21" i="41"/>
  <c r="EQ21" i="41" s="1"/>
  <c r="ER21" i="41" s="1"/>
  <c r="EP20" i="41"/>
  <c r="EQ20" i="41" s="1"/>
  <c r="ER20" i="41" s="1"/>
  <c r="EP19" i="41"/>
  <c r="EQ19" i="41" s="1"/>
  <c r="ER19" i="41" s="1"/>
  <c r="EP18" i="41"/>
  <c r="EQ18" i="41" s="1"/>
  <c r="ER18" i="41" s="1"/>
  <c r="EP17" i="41"/>
  <c r="EQ17" i="41" s="1"/>
  <c r="ER17" i="41" s="1"/>
  <c r="EP16" i="41"/>
  <c r="EQ16" i="41" s="1"/>
  <c r="ER16" i="41" s="1"/>
  <c r="EP15" i="41"/>
  <c r="EQ15" i="41" s="1"/>
  <c r="ER15" i="41" s="1"/>
  <c r="EP14" i="41"/>
  <c r="EQ14" i="41" s="1"/>
  <c r="ER14" i="41" s="1"/>
  <c r="EP13" i="41"/>
  <c r="EQ13" i="41" s="1"/>
  <c r="ER13" i="41" s="1"/>
  <c r="EP12" i="41"/>
  <c r="EQ12" i="41" s="1"/>
  <c r="ER12" i="41" s="1"/>
  <c r="ES16" i="41" l="1"/>
  <c r="ET16" i="41" s="1"/>
  <c r="EU16" i="41" s="1"/>
  <c r="ES18" i="41"/>
  <c r="ET18" i="41" s="1"/>
  <c r="EU18" i="41" s="1"/>
  <c r="ES27" i="41"/>
  <c r="ET27" i="41" s="1"/>
  <c r="EU27" i="41" s="1"/>
  <c r="ES22" i="41"/>
  <c r="ET22" i="41" s="1"/>
  <c r="EU22" i="41" s="1"/>
  <c r="ES20" i="41"/>
  <c r="ET20" i="41" s="1"/>
  <c r="EU20" i="41" s="1"/>
  <c r="ES23" i="41"/>
  <c r="ET23" i="41" s="1"/>
  <c r="EU23" i="41" s="1"/>
  <c r="ES14" i="41"/>
  <c r="ET14" i="41" s="1"/>
  <c r="EU14" i="41" s="1"/>
  <c r="ES13" i="41"/>
  <c r="ET13" i="41" s="1"/>
  <c r="EU13" i="41" s="1"/>
  <c r="ES30" i="41"/>
  <c r="ET30" i="41" s="1"/>
  <c r="EU30" i="41" s="1"/>
  <c r="ES15" i="41"/>
  <c r="ET15" i="41" s="1"/>
  <c r="EU15" i="41" s="1"/>
  <c r="ES21" i="41"/>
  <c r="ET21" i="41" s="1"/>
  <c r="EU21" i="41" s="1"/>
  <c r="ES31" i="41"/>
  <c r="ET31" i="41" s="1"/>
  <c r="EU31" i="41" s="1"/>
  <c r="ES19" i="41"/>
  <c r="ET19" i="41" s="1"/>
  <c r="EU19" i="41" s="1"/>
  <c r="ES25" i="41"/>
  <c r="ET25" i="41" s="1"/>
  <c r="EU25" i="41" s="1"/>
  <c r="ES17" i="41"/>
  <c r="ET17" i="41" s="1"/>
  <c r="EU17" i="41" s="1"/>
  <c r="ES24" i="41"/>
  <c r="ET24" i="41" s="1"/>
  <c r="EU24" i="41" s="1"/>
  <c r="ES26" i="41"/>
  <c r="ET26" i="41" s="1"/>
  <c r="EU26" i="41" s="1"/>
  <c r="ES28" i="41"/>
  <c r="ET28" i="41" s="1"/>
  <c r="EU28" i="41" s="1"/>
  <c r="ES12" i="41"/>
  <c r="ET12" i="41" s="1"/>
  <c r="EU12" i="41" s="1"/>
  <c r="ES29" i="41"/>
  <c r="ET29" i="41" s="1"/>
  <c r="EU29" i="41" s="1"/>
  <c r="DZ31" i="41" l="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W31" i="41"/>
  <c r="DV31" i="41"/>
  <c r="DW30" i="41"/>
  <c r="DV30" i="41"/>
  <c r="DW29" i="41"/>
  <c r="DV29" i="41"/>
  <c r="DW28" i="41"/>
  <c r="DV28" i="41"/>
  <c r="DW27" i="41"/>
  <c r="DV27" i="41"/>
  <c r="DW26" i="41"/>
  <c r="DV26" i="41"/>
  <c r="DW25" i="41"/>
  <c r="DV25" i="41"/>
  <c r="DW24" i="41"/>
  <c r="DV24" i="41"/>
  <c r="DW23" i="41"/>
  <c r="DV23" i="41"/>
  <c r="DW22" i="41"/>
  <c r="DV22" i="41"/>
  <c r="DW21" i="41"/>
  <c r="DV21" i="41"/>
  <c r="DW20" i="41"/>
  <c r="DV20" i="41"/>
  <c r="DW19" i="41"/>
  <c r="DV19" i="41"/>
  <c r="DW18" i="41"/>
  <c r="DV18" i="41"/>
  <c r="DW17" i="41"/>
  <c r="DV17" i="41"/>
  <c r="DW16" i="41"/>
  <c r="DV16" i="41"/>
  <c r="DW15" i="41"/>
  <c r="DV15" i="41"/>
  <c r="DW14" i="41"/>
  <c r="DV14" i="41"/>
  <c r="DW13" i="41"/>
  <c r="DV13" i="41"/>
  <c r="DW12" i="41"/>
  <c r="DV12" i="41"/>
  <c r="DT31" i="41"/>
  <c r="DS31" i="41"/>
  <c r="DT30" i="41"/>
  <c r="DS30" i="41"/>
  <c r="DT29" i="41"/>
  <c r="DS29" i="41"/>
  <c r="DT28" i="41"/>
  <c r="DS28" i="41"/>
  <c r="DT27" i="41"/>
  <c r="DS27" i="41"/>
  <c r="DT26" i="41"/>
  <c r="DS26" i="41"/>
  <c r="DT25" i="41"/>
  <c r="DS25" i="41"/>
  <c r="DT24" i="41"/>
  <c r="DS24" i="41"/>
  <c r="DT23" i="41"/>
  <c r="DS23" i="41"/>
  <c r="DT22" i="41"/>
  <c r="DS22" i="41"/>
  <c r="DT21" i="41"/>
  <c r="DS21" i="41"/>
  <c r="DT20" i="41"/>
  <c r="DS20" i="41"/>
  <c r="DT19" i="41"/>
  <c r="DS19" i="41"/>
  <c r="DT18" i="41"/>
  <c r="DS18" i="41"/>
  <c r="DT17" i="41"/>
  <c r="DS17" i="41"/>
  <c r="DT16" i="41"/>
  <c r="DS16" i="41"/>
  <c r="DT15" i="41"/>
  <c r="DS15" i="41"/>
  <c r="DT14" i="41"/>
  <c r="DS14" i="41"/>
  <c r="DT13" i="41"/>
  <c r="DS13" i="41"/>
  <c r="DT12" i="41"/>
  <c r="DS12" i="41"/>
  <c r="DO31" i="41"/>
  <c r="DO30" i="41"/>
  <c r="DO29" i="41"/>
  <c r="DO28" i="41"/>
  <c r="DO27" i="41"/>
  <c r="DO26" i="41"/>
  <c r="DO25" i="41"/>
  <c r="DO24" i="41"/>
  <c r="DO23" i="41"/>
  <c r="DO22" i="41"/>
  <c r="DO21" i="41"/>
  <c r="DO20" i="41"/>
  <c r="DO19" i="41"/>
  <c r="DO18" i="41"/>
  <c r="DO17" i="41"/>
  <c r="DO16" i="41"/>
  <c r="DO15" i="41"/>
  <c r="DO14" i="41"/>
  <c r="DO13" i="41"/>
  <c r="DO12" i="41"/>
  <c r="DM31" i="41"/>
  <c r="DK31" i="41"/>
  <c r="DM30" i="41"/>
  <c r="DK30" i="41"/>
  <c r="DM29" i="41"/>
  <c r="DK29" i="41"/>
  <c r="DM28" i="41"/>
  <c r="DK28" i="41"/>
  <c r="DM27" i="41"/>
  <c r="DK27" i="41"/>
  <c r="DM26" i="41"/>
  <c r="DK26" i="41"/>
  <c r="DM25" i="41"/>
  <c r="DK25" i="41"/>
  <c r="DM24" i="41"/>
  <c r="DK24" i="41"/>
  <c r="DM23" i="41"/>
  <c r="DK23" i="41"/>
  <c r="DM22" i="41"/>
  <c r="DK22" i="41"/>
  <c r="DM21" i="41"/>
  <c r="DK21" i="41"/>
  <c r="DM20" i="41"/>
  <c r="DK20" i="41"/>
  <c r="DM19" i="41"/>
  <c r="DK19" i="41"/>
  <c r="DM18" i="41"/>
  <c r="DK18" i="41"/>
  <c r="DM17" i="41"/>
  <c r="DK17" i="41"/>
  <c r="DM16" i="41"/>
  <c r="DK16" i="41"/>
  <c r="DM15" i="41"/>
  <c r="DK15" i="41"/>
  <c r="DM14" i="41"/>
  <c r="DK14" i="41"/>
  <c r="DM13" i="41"/>
  <c r="DK13" i="41"/>
  <c r="DM12" i="41"/>
  <c r="DK12" i="41"/>
  <c r="DL24" i="41" l="1"/>
  <c r="EA25" i="41"/>
  <c r="EA13" i="41"/>
  <c r="DL13" i="41"/>
  <c r="DL31" i="41"/>
  <c r="DL12" i="41"/>
  <c r="DL17" i="41"/>
  <c r="DL19" i="41"/>
  <c r="DL26" i="41"/>
  <c r="DL25" i="41"/>
  <c r="DQ30" i="41"/>
  <c r="DN12" i="41"/>
  <c r="DL16" i="41"/>
  <c r="DU31" i="41"/>
  <c r="DX12" i="41"/>
  <c r="DL15" i="41"/>
  <c r="DL18" i="41"/>
  <c r="DL21" i="41"/>
  <c r="DQ28" i="41"/>
  <c r="DX21" i="41"/>
  <c r="DU30" i="41"/>
  <c r="DQ23" i="41"/>
  <c r="DQ24" i="41"/>
  <c r="DQ26" i="41"/>
  <c r="DQ27" i="41"/>
  <c r="DU24" i="41"/>
  <c r="DL14" i="41"/>
  <c r="DN13" i="41"/>
  <c r="DQ14" i="41"/>
  <c r="DQ19" i="41"/>
  <c r="DL20" i="41"/>
  <c r="DL23" i="41"/>
  <c r="DL27" i="41"/>
  <c r="DQ29" i="41"/>
  <c r="DQ17" i="41"/>
  <c r="DL22" i="41"/>
  <c r="DX13" i="41"/>
  <c r="DN26" i="41"/>
  <c r="DN25" i="41"/>
  <c r="DU13" i="41"/>
  <c r="DU16" i="41"/>
  <c r="DU17" i="41"/>
  <c r="DX29" i="41"/>
  <c r="DN14" i="41"/>
  <c r="DN15" i="41"/>
  <c r="DN16" i="41"/>
  <c r="DN19" i="41"/>
  <c r="DX15" i="41"/>
  <c r="DX31" i="41"/>
  <c r="DN17" i="41"/>
  <c r="DN18" i="41"/>
  <c r="DN20" i="41"/>
  <c r="DN21" i="41"/>
  <c r="DQ16" i="41"/>
  <c r="DQ18" i="41"/>
  <c r="DQ20" i="41"/>
  <c r="DQ22" i="41"/>
  <c r="DQ25" i="41"/>
  <c r="DN27" i="41"/>
  <c r="DN30" i="41"/>
  <c r="DN29" i="41"/>
  <c r="DN28" i="41"/>
  <c r="DL29" i="41"/>
  <c r="DN31" i="41"/>
  <c r="DQ31" i="41"/>
  <c r="DU18" i="41"/>
  <c r="DU20" i="41"/>
  <c r="DU27" i="41"/>
  <c r="DN24" i="41"/>
  <c r="DN23" i="41"/>
  <c r="DN22" i="41"/>
  <c r="DL30" i="41"/>
  <c r="DU23" i="41"/>
  <c r="DU22" i="41"/>
  <c r="DU26" i="41"/>
  <c r="DU25" i="41"/>
  <c r="DX18" i="41"/>
  <c r="DX22" i="41"/>
  <c r="DX24" i="41"/>
  <c r="DX23" i="41"/>
  <c r="DX26" i="41"/>
  <c r="DX30" i="41"/>
  <c r="DL28" i="41"/>
  <c r="DP12" i="41"/>
  <c r="DP13" i="41"/>
  <c r="DP24" i="41"/>
  <c r="DP27" i="41"/>
  <c r="DU19" i="41"/>
  <c r="DU28" i="41"/>
  <c r="DU29" i="41"/>
  <c r="DX20" i="41"/>
  <c r="DX27" i="41"/>
  <c r="DQ12" i="41"/>
  <c r="DQ13" i="41"/>
  <c r="DQ15" i="41"/>
  <c r="DQ21" i="41"/>
  <c r="DU12" i="41"/>
  <c r="DX16" i="41"/>
  <c r="DX17" i="41"/>
  <c r="DX19" i="41"/>
  <c r="DX25" i="41"/>
  <c r="EA12" i="41"/>
  <c r="EA16" i="41"/>
  <c r="EA17" i="41"/>
  <c r="EA21" i="41"/>
  <c r="EA20" i="41"/>
  <c r="EA22" i="41"/>
  <c r="EA24" i="41"/>
  <c r="EA23" i="41"/>
  <c r="DP26" i="41"/>
  <c r="DU15" i="41"/>
  <c r="DU21" i="41"/>
  <c r="DX14" i="41"/>
  <c r="DX28" i="41"/>
  <c r="EA18" i="41"/>
  <c r="EA26" i="41"/>
  <c r="DU14" i="41"/>
  <c r="EA29" i="41"/>
  <c r="EA28" i="41"/>
  <c r="EA14" i="41"/>
  <c r="EA19" i="41"/>
  <c r="EA30" i="41"/>
  <c r="EA15" i="41"/>
  <c r="EA27" i="41"/>
  <c r="EA31" i="41"/>
  <c r="DP14" i="41"/>
  <c r="DP16" i="41"/>
  <c r="DP19" i="41"/>
  <c r="DP22" i="41"/>
  <c r="DP25" i="41"/>
  <c r="DP30" i="41"/>
  <c r="DP28" i="41"/>
  <c r="DP31" i="41"/>
  <c r="DP15" i="41"/>
  <c r="DP17" i="41"/>
  <c r="DP18" i="41"/>
  <c r="DP20" i="41"/>
  <c r="DP21" i="41"/>
  <c r="DP23" i="41"/>
  <c r="DP29" i="41"/>
  <c r="EC18" i="41" l="1"/>
  <c r="EC12" i="41"/>
  <c r="EC25" i="41"/>
  <c r="EC26" i="41"/>
  <c r="ED13" i="41"/>
  <c r="EC19" i="41"/>
  <c r="EC20" i="41"/>
  <c r="EC17" i="41"/>
  <c r="EC21" i="41"/>
  <c r="ED21" i="41"/>
  <c r="ED31" i="41"/>
  <c r="EC27" i="41"/>
  <c r="EC15" i="41"/>
  <c r="EC16" i="41"/>
  <c r="EC13" i="41"/>
  <c r="ED30" i="41"/>
  <c r="EC24" i="41"/>
  <c r="EC14" i="41"/>
  <c r="ED24" i="41"/>
  <c r="EC22" i="41"/>
  <c r="EC31" i="41"/>
  <c r="EC23" i="41"/>
  <c r="ED12" i="41"/>
  <c r="ED26" i="41"/>
  <c r="DR31" i="41"/>
  <c r="EB31" i="41" s="1"/>
  <c r="DR25" i="41"/>
  <c r="EB25" i="41" s="1"/>
  <c r="DR26" i="41"/>
  <c r="EB26" i="41" s="1"/>
  <c r="DR15" i="41"/>
  <c r="EB15" i="41" s="1"/>
  <c r="DR14" i="41"/>
  <c r="EB14" i="41" s="1"/>
  <c r="DR29" i="41"/>
  <c r="EB29" i="41" s="1"/>
  <c r="ED14" i="41"/>
  <c r="ED19" i="41"/>
  <c r="ED22" i="41"/>
  <c r="ED27" i="41"/>
  <c r="ED20" i="41"/>
  <c r="DR27" i="41"/>
  <c r="EB27" i="41" s="1"/>
  <c r="DR19" i="41"/>
  <c r="EB19" i="41" s="1"/>
  <c r="DR18" i="41"/>
  <c r="EB18" i="41" s="1"/>
  <c r="DR13" i="41"/>
  <c r="EB13" i="41" s="1"/>
  <c r="DR30" i="41"/>
  <c r="EB30" i="41" s="1"/>
  <c r="DR12" i="41"/>
  <c r="EB12" i="41" s="1"/>
  <c r="ED17" i="41"/>
  <c r="DR24" i="41"/>
  <c r="EB24" i="41" s="1"/>
  <c r="ED29" i="41"/>
  <c r="ED25" i="41"/>
  <c r="ED23" i="41"/>
  <c r="EC30" i="41"/>
  <c r="ED16" i="41"/>
  <c r="DR22" i="41"/>
  <c r="EB22" i="41" s="1"/>
  <c r="DR16" i="41"/>
  <c r="EB16" i="41" s="1"/>
  <c r="ED15" i="41"/>
  <c r="ED28" i="41"/>
  <c r="EC28" i="41"/>
  <c r="ED18" i="41"/>
  <c r="EC29" i="41"/>
  <c r="DR21" i="41"/>
  <c r="EB21" i="41" s="1"/>
  <c r="DR20" i="41"/>
  <c r="EB20" i="41" s="1"/>
  <c r="DR28" i="41"/>
  <c r="EB28" i="41" s="1"/>
  <c r="DR23" i="41"/>
  <c r="EB23" i="41" s="1"/>
  <c r="DR17" i="41"/>
  <c r="EB17" i="41" s="1"/>
  <c r="EE13" i="41" l="1"/>
  <c r="EE24" i="41"/>
  <c r="EE31" i="41"/>
  <c r="EE21" i="41"/>
  <c r="EE23" i="41"/>
  <c r="EE18" i="41"/>
  <c r="EE15" i="41"/>
  <c r="EE22" i="41"/>
  <c r="EE27" i="41"/>
  <c r="EE14" i="41"/>
  <c r="EE26" i="41"/>
  <c r="EE16" i="41"/>
  <c r="EE17" i="41"/>
  <c r="EE30" i="41"/>
  <c r="EE25" i="41"/>
  <c r="EE29" i="41"/>
  <c r="EE12" i="41"/>
  <c r="EE20" i="41"/>
  <c r="EE28" i="41"/>
  <c r="EE19" i="41"/>
  <c r="DI31" i="41"/>
  <c r="DH31" i="41"/>
  <c r="DA31" i="41"/>
  <c r="CZ31" i="41"/>
  <c r="DI30" i="41"/>
  <c r="DH30" i="41"/>
  <c r="DA30" i="41"/>
  <c r="CZ30" i="41"/>
  <c r="DI29" i="41"/>
  <c r="DH29" i="41"/>
  <c r="DA29" i="41"/>
  <c r="CZ29" i="41"/>
  <c r="DI28" i="41"/>
  <c r="DH28" i="41"/>
  <c r="DA28" i="41"/>
  <c r="CZ28" i="41"/>
  <c r="DI27" i="41"/>
  <c r="DH27" i="41"/>
  <c r="DA27" i="41"/>
  <c r="CZ27" i="41"/>
  <c r="DI26" i="41"/>
  <c r="DH26" i="41"/>
  <c r="DA26" i="41"/>
  <c r="CZ26" i="41"/>
  <c r="DI25" i="41"/>
  <c r="DH25" i="41"/>
  <c r="DA25" i="41"/>
  <c r="CZ25" i="41"/>
  <c r="DI24" i="41"/>
  <c r="DH24" i="41"/>
  <c r="DA24" i="41"/>
  <c r="CZ24" i="41"/>
  <c r="DI23" i="41"/>
  <c r="DH23" i="41"/>
  <c r="DA23" i="41"/>
  <c r="CZ23" i="41"/>
  <c r="DI22" i="41"/>
  <c r="DH22" i="41"/>
  <c r="DA22" i="41"/>
  <c r="CZ22" i="41"/>
  <c r="DI21" i="41"/>
  <c r="DH21" i="41"/>
  <c r="DA21" i="41"/>
  <c r="CZ21" i="41"/>
  <c r="DI20" i="41"/>
  <c r="DH20" i="41"/>
  <c r="DA20" i="41"/>
  <c r="CZ20" i="41"/>
  <c r="DI19" i="41"/>
  <c r="DH19" i="41"/>
  <c r="DA19" i="41"/>
  <c r="CZ19" i="41"/>
  <c r="DI18" i="41"/>
  <c r="DH18" i="41"/>
  <c r="DA18" i="41"/>
  <c r="CZ18" i="41"/>
  <c r="DI17" i="41"/>
  <c r="DH17" i="41"/>
  <c r="DA17" i="41"/>
  <c r="CZ17" i="41"/>
  <c r="DI16" i="41"/>
  <c r="DH16" i="41"/>
  <c r="DA16" i="41"/>
  <c r="CZ16" i="41"/>
  <c r="DI15" i="41"/>
  <c r="DH15" i="41"/>
  <c r="DA15" i="41"/>
  <c r="CZ15" i="41"/>
  <c r="DI14" i="41"/>
  <c r="DH14" i="41"/>
  <c r="DA14" i="41"/>
  <c r="CZ14" i="41"/>
  <c r="DI13" i="41"/>
  <c r="DH13" i="41"/>
  <c r="DA13" i="41"/>
  <c r="CZ13" i="41"/>
  <c r="DI12" i="41"/>
  <c r="DH12" i="41"/>
  <c r="DA12" i="41"/>
  <c r="CZ12" i="41"/>
  <c r="CA12" i="41" l="1"/>
  <c r="CA13" i="41"/>
  <c r="CA14" i="41"/>
  <c r="CA15" i="41"/>
  <c r="CA16" i="41"/>
  <c r="CA17" i="41"/>
  <c r="CA18" i="41"/>
  <c r="CA19" i="41"/>
  <c r="CA20" i="41"/>
  <c r="CA21" i="41"/>
  <c r="CA22" i="41"/>
  <c r="CA23" i="41"/>
  <c r="CA24" i="41"/>
  <c r="CA25" i="41"/>
  <c r="CA26" i="41"/>
  <c r="CA27" i="41"/>
  <c r="CA28" i="41"/>
  <c r="CA29" i="41"/>
  <c r="CA30" i="41"/>
  <c r="CA31"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<sst xmlns="http://schemas.openxmlformats.org/spreadsheetml/2006/main" count="1787" uniqueCount="778">
  <si>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</si>
  <si>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</si>
  <si>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</si>
  <si>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</si>
  <si>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</si>
  <si>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</si>
  <si>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</si>
  <si>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</si>
  <si>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</si>
  <si>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</si>
  <si>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</si>
  <si>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</si>
  <si>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</si>
  <si>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</si>
  <si>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</si>
  <si>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</si>
  <si>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</si>
  <si>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</si>
  <si>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</si>
  <si>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</si>
  <si>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</si>
  <si>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</si>
  <si>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</si>
  <si>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</si>
  <si>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</si>
  <si>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</si>
  <si>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</si>
  <si>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</si>
  <si>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</si>
  <si>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</si>
  <si>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</si>
  <si>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</si>
  <si>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</si>
  <si>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</si>
  <si>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</si>
  <si>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</si>
  <si>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</si>
  <si>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</si>
  <si>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</si>
  <si>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</si>
  <si>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</si>
  <si>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</si>
  <si>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</si>
  <si>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</si>
  <si>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</si>
  <si>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</si>
  <si>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</si>
  <si>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</si>
  <si>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</si>
  <si>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</si>
  <si>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</si>
  <si>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</si>
  <si>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</si>
  <si>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</si>
  <si>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</si>
  <si>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</si>
  <si>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</si>
  <si>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</si>
  <si>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</si>
  <si>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</si>
  <si>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</si>
  <si>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</si>
  <si>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</si>
  <si>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</si>
  <si>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</si>
  <si>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</si>
  <si>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</si>
  <si>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</si>
  <si>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</si>
  <si>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</si>
  <si>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</si>
  <si>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</si>
  <si>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</si>
  <si>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</si>
  <si>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</si>
  <si>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</si>
  <si>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</si>
  <si>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</si>
  <si>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</si>
  <si>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</si>
  <si>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</si>
  <si>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</si>
  <si>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</si>
  <si>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</si>
  <si>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</si>
  <si>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</si>
  <si>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</si>
  <si>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</si>
  <si>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</si>
  <si>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</si>
  <si>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</si>
  <si>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</si>
  <si>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</si>
  <si>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</si>
  <si>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</si>
  <si>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</si>
  <si>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</si>
  <si>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</si>
  <si>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</si>
  <si>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</si>
  <si>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</si>
  <si>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</si>
  <si>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</si>
  <si>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</si>
  <si>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</si>
  <si>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</si>
  <si>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</si>
  <si>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</si>
  <si>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</si>
  <si>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</si>
  <si>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</si>
  <si>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</si>
  <si>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</si>
  <si>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</si>
  <si>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</si>
  <si>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</si>
  <si>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</si>
  <si>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</si>
  <si>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</si>
  <si>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</si>
  <si>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</si>
  <si>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</si>
  <si>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</si>
  <si>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</si>
  <si>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</si>
  <si>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</si>
  <si>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</si>
  <si>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</si>
  <si>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</si>
  <si>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</si>
  <si>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</si>
  <si>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</si>
  <si>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</si>
  <si>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</si>
  <si>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</si>
  <si>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</si>
  <si>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</si>
  <si>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</si>
  <si>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</si>
  <si>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</si>
  <si>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</si>
  <si>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</si>
  <si>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</si>
  <si>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</si>
  <si>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</si>
  <si>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</si>
  <si>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</si>
  <si>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</si>
  <si>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</si>
  <si>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</si>
  <si>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</si>
  <si>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</si>
  <si>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</si>
  <si>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</si>
  <si>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</si>
  <si>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</si>
  <si>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</si>
  <si>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</si>
  <si>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</si>
  <si>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</si>
  <si>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</si>
  <si>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</si>
  <si>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</si>
  <si>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</si>
  <si>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</si>
  <si>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</si>
  <si>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</si>
  <si>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</si>
  <si>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</si>
  <si>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</si>
  <si>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</si>
  <si>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</si>
  <si>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</si>
  <si>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</si>
  <si>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</si>
  <si>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</si>
  <si>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</si>
  <si>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</si>
  <si>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</si>
  <si>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</si>
  <si>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</si>
  <si>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</si>
  <si>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</si>
  <si>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</si>
  <si>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</si>
  <si>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</si>
  <si>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</si>
  <si>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</si>
  <si>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</si>
  <si>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</si>
  <si>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</si>
  <si>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</si>
  <si>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</si>
  <si>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</si>
  <si>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</si>
  <si>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</si>
  <si>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</si>
  <si>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</si>
  <si>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</si>
  <si>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</si>
  <si>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</si>
  <si>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</si>
  <si>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</si>
  <si>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</si>
  <si>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</si>
  <si>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</si>
  <si>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</si>
  <si>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</si>
  <si>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</si>
  <si>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</si>
  <si>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</si>
  <si>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</si>
  <si>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</si>
  <si>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</si>
  <si>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</si>
  <si>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</si>
  <si>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</si>
  <si>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</si>
  <si>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</si>
  <si>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</si>
  <si>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</si>
  <si>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</si>
  <si>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</si>
  <si>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</si>
  <si>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</si>
  <si>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</si>
  <si>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</si>
  <si>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</si>
  <si>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</si>
  <si>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</si>
  <si>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</si>
  <si>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</si>
  <si>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</si>
  <si>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</si>
  <si>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</si>
  <si>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</si>
  <si>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</si>
  <si>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</si>
  <si>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</si>
  <si>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</si>
  <si>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</si>
  <si>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</si>
  <si>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</si>
  <si>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</si>
  <si>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</si>
  <si>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</si>
  <si>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</si>
  <si>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</si>
  <si>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</si>
  <si>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</si>
  <si>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</si>
  <si>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</si>
  <si>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</si>
  <si>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</si>
  <si>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</si>
  <si>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</si>
  <si>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</si>
  <si>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</si>
  <si>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</si>
  <si>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</si>
  <si>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</si>
  <si>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</si>
  <si>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</si>
  <si>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</si>
  <si>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</si>
  <si>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</si>
  <si>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</si>
  <si>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</si>
  <si>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</si>
  <si>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</si>
  <si>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</si>
  <si>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</si>
  <si>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</si>
  <si>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</si>
  <si>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</si>
  <si>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</si>
  <si>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</si>
  <si>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</si>
  <si>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</si>
  <si>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</si>
  <si>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</si>
  <si>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</si>
  <si>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</si>
  <si>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</si>
  <si>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</si>
  <si>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</si>
  <si>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</si>
  <si>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</si>
  <si>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</si>
  <si>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Descripción del riesgo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</si>
  <si>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</si>
  <si>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</si>
  <si>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</si>
  <si>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</si>
  <si>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</si>
  <si>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</si>
  <si>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</si>
  <si>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</si>
  <si>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</si>
  <si>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</si>
  <si>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</si>
  <si>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</si>
  <si>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</si>
  <si>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</si>
  <si>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</si>
  <si>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</si>
  <si>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</si>
  <si>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</si>
  <si>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</si>
  <si>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</si>
  <si>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</si>
  <si>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</si>
  <si>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</si>
  <si>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</si>
  <si>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</si>
  <si>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</si>
  <si>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</si>
  <si>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</si>
  <si>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</si>
  <si>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</si>
  <si>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</si>
  <si>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</si>
  <si>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</si>
  <si>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</si>
  <si>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</si>
  <si>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</si>
  <si>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Fraude interno</t>
  </si>
  <si>
    <t xml:space="preserve">- Ningún otro proceso en el Sistema de Gestión de Calidad
</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</si>
  <si>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</si>
  <si>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</si>
  <si>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</si>
  <si>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</si>
  <si>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Identificación del riesgo
Tratamiento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</si>
  <si>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</si>
  <si>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</si>
  <si>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</si>
  <si>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Tratamiento del riesgo</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</si>
  <si>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</si>
  <si>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</si>
  <si>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 xml:space="preserve">- Presiones o motivaciones individuales, sociales o colectivas que inciten a realizar conductas contrarias al deber ser.
- Presión o exigencias por parte de personas interesadas o motivación individual en el resultado del proceso disciplinario.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</si>
  <si>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</si>
  <si>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</si>
  <si>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Identificación del riesgo
Análisis antes de controles
Tratamiento del riesgo</t>
  </si>
  <si>
    <t xml:space="preserve">
Análisis antes de controles
Tratamiento del riesgo</t>
  </si>
  <si>
    <t xml:space="preserve">- Constante actualización de directrices Nacionales y Distritales, que puedan afectar o limitar el proceso auditor
</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</si>
  <si>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</si>
  <si>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</si>
  <si>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Procesos misionales en el Sistema de Gestión de Calidad
</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</si>
  <si>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</si>
  <si>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</si>
  <si>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</si>
  <si>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</si>
  <si>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</si>
  <si>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5. Fortalecer la prestación del servicio a la ciudadanía con oportunidad, eficiencia y transparencia, a través del uso de la tecnología y la cualificación de los servidores.</t>
  </si>
  <si>
    <t xml:space="preserve">- Desconocimiento por parte de algunos funcionarios acerca de las funciones de la entidad y elementos de la plataforma estratégica.
</t>
  </si>
  <si>
    <t xml:space="preserve">- Presiones o motivaciones de los ciudadanos que incitan al servidor público a realizar conductas contrarias al deber ser.
</t>
  </si>
  <si>
    <t xml:space="preserve">- Alta rotación de personal generando retrasos en la curva de aprendizaje.
- Debilidades en la comunicación clara y unificada en diferentes niveles de la entidad.
</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</si>
  <si>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</si>
  <si>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</si>
  <si>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</si>
  <si>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</si>
  <si>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</si>
  <si>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</si>
  <si>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</si>
  <si>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</si>
  <si>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</si>
  <si>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</si>
  <si>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</si>
  <si>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</si>
  <si>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</si>
  <si>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ya que las actividades de control preventivas son fuertes y mitigan la mayoría de las causas. El riesgo no disminuye el impacto.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</si>
  <si>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</si>
  <si>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</si>
  <si>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</si>
  <si>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</si>
  <si>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</si>
  <si>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</si>
  <si>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</si>
  <si>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</si>
  <si>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</si>
  <si>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1. Implementar estrategias y acciones que aporten a la construcción de la paz, la reparación, la memoria y la reconciliación en Bogotá región.</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</si>
  <si>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</si>
  <si>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</si>
  <si>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Jefe de Oficina Jurídica</t>
  </si>
  <si>
    <t>Oficina Jurídica</t>
  </si>
  <si>
    <t>Jefe Oficina de Control Disciplinario Interno</t>
  </si>
  <si>
    <t>Oficina de Control Disciplinario Interno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</si>
  <si>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</si>
  <si>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</si>
  <si>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</si>
  <si>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</si>
  <si>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</si>
  <si>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Ejecutar las auditorías internas de gestión, seguimientos y realizar informes de ley </t>
  </si>
  <si>
    <t>Fortalecimiento de la Gestión Pública</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</si>
  <si>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</si>
  <si>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</si>
  <si>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xml:space="preserve">Diseñar y emitir lineamientos, desarrollar estrategias, brindar, prestar servicios y realizar análisis, estudios e investigaciones para el fortalecimiento de la gestión pública distrital																																																																																															</t>
  </si>
  <si>
    <t>Gestión de Contratación</t>
  </si>
  <si>
    <t>Apoyo</t>
  </si>
  <si>
    <t>Desarrollar las actividades de Interventoría y/o supervisión</t>
  </si>
  <si>
    <t>Inicia con el ingreso de bienes al inventario de la entidad, continúa con su asignación, aseguramiento, mantenimiento y control, termina con su clasificación y baja.</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</si>
  <si>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</si>
  <si>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</si>
  <si>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</si>
  <si>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</si>
  <si>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</si>
  <si>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Cambios de estructura organizacional que afecten el desempeño del proceso de gestión documental.
- Constante actualización de directrices y normas  Nacionales y Distritales aplicables al proceso.
- Altos costos de la tecnología.  
</t>
  </si>
  <si>
    <t>Gestión del Talento Humano</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</si>
  <si>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</si>
  <si>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Subdirector(a) Financiero(a)</t>
  </si>
  <si>
    <t>7. Mejorar la oportunidad en la ejecución de los recursos, a través del fortalecimiento de una cultura financiera, para lograr una gestión pública efectiva.</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</si>
  <si>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</si>
  <si>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</si>
  <si>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</si>
  <si>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Administrar canales de relacionamiento con la ciudadanía</t>
  </si>
  <si>
    <t>Medir y analizar la calidad en la prestación del servicio en los canales de relacionamiento con la Ciudadanía de la administración distrital</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</si>
  <si>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</si>
  <si>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</si>
  <si>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</si>
  <si>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</si>
  <si>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</si>
  <si>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</si>
  <si>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</si>
  <si>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Gestión de Servicios Administrativos y Tecnológicos</t>
  </si>
  <si>
    <t>Subsecretario(a) Distrital de Fortalecimiento Institucional</t>
  </si>
  <si>
    <t>Objetivos de Desarrollo Sostenible</t>
  </si>
  <si>
    <t>Sin asociación</t>
  </si>
  <si>
    <t>16. Paz, justicia e instituciones sólidas</t>
  </si>
  <si>
    <t>Dependencia</t>
  </si>
  <si>
    <t>Oficina Alta Consejería de Paz, Víctimas y Reconciliación</t>
  </si>
  <si>
    <t>Subdirección de Gestión Documental</t>
  </si>
  <si>
    <t>Observaciones</t>
  </si>
  <si>
    <t>CREADO</t>
  </si>
  <si>
    <t>CREADO Control Disciplinario_2023</t>
  </si>
  <si>
    <t>Falta crear los demás roles aparte de Cesar</t>
  </si>
  <si>
    <t>CREADO
Evaluación del Sistema de Control Interno_2023</t>
  </si>
  <si>
    <t>CREADO
Fortalecimiento de la Gestión Pública_2023</t>
  </si>
  <si>
    <t>CREADO
Gestión de Contratación_2023</t>
  </si>
  <si>
    <t>CREADO
Gestión de Recursos Físicos_2023</t>
  </si>
  <si>
    <t>CREADO
Gestión de Servicios Administrativos y Tecnológicos_2023</t>
  </si>
  <si>
    <t>CREADO
Gestión del Talento Humano_2023</t>
  </si>
  <si>
    <t>CREADO
Gestión Financiera_2023</t>
  </si>
  <si>
    <t>CREADO
Gestión Jurídica_2023</t>
  </si>
  <si>
    <t>CREADO
Gobierno Abierto y Relacionamiento con la Ciudadanía_2023</t>
  </si>
  <si>
    <t>CREADO
Paz, Víctimas y Reconciliacióna_2023</t>
  </si>
  <si>
    <t>Equipo</t>
  </si>
  <si>
    <t>Elementos de análisis</t>
  </si>
  <si>
    <t>Campos:
Debilidades
Oportunidades
Fortalezas
Amenazas
Consecuencias
ODS</t>
  </si>
  <si>
    <t>Listo para gestión y corrupción</t>
  </si>
  <si>
    <t>Equipo de trabajo</t>
  </si>
  <si>
    <t>Contextos</t>
  </si>
  <si>
    <t>Identificación</t>
  </si>
  <si>
    <t>OK</t>
  </si>
  <si>
    <t>No se puede asociar varias actividades clave</t>
  </si>
  <si>
    <t>Ajusté la actividad clave según el nuevo proceso</t>
  </si>
  <si>
    <t>Análisis</t>
  </si>
  <si>
    <t>Probabilidad e impacto</t>
  </si>
  <si>
    <t>No se ven las calificaciones dadas a la encuesta</t>
  </si>
  <si>
    <t>Ok</t>
  </si>
  <si>
    <t>Incluidos</t>
  </si>
  <si>
    <t>Definir controles</t>
  </si>
  <si>
    <t>Evaluar controles</t>
  </si>
  <si>
    <t>Evaluados</t>
  </si>
  <si>
    <t>CONTROL DE CAMBIOS</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</si>
  <si>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	Memorando:</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</si>
  <si>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</si>
  <si>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</si>
  <si>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</si>
  <si>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</si>
  <si>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CONTROL DE CAMBIOS
Conforme al memorando 3-2022-35584 del 14 de diciembre de 2022, se realizó el cargue de este riesgo en DARUMA con las siguientes novedades: 
•	Aspectos: Identificación del riesgo
•	Cambios: Se asocia el riesgo al nuevo Mapa de procesos de la Secretaría General. Se cambia el nombre del  riesgo. Se realizó ajuste en las causas internas y externas según el análisis DOFA del nuevo proceso  gestión de servicios administrativos.
•	Memorando:</t>
  </si>
  <si>
    <t>CONTROL DE CAMBIOS
Conforme al memorando 3-2022-35584 del 14 de diciembre de 2022, se realizó el cargue de este riesgo en DARUMA con las siguientes novedades: 
•	Aspectos: Identificación del riesgo, análisis de controles y análisis después de controles
•	Cambios: Se elimina asociación al proyecto de inversión 7869 "Implementación del modelo de gobierno abierto, accesible e incluyente de Bogotá" dado que desde el proceso no se participa en el alcance del proyecto.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</si>
  <si>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</si>
  <si>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</si>
  <si>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</si>
  <si>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</si>
  <si>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</si>
  <si>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</si>
  <si>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</si>
  <si>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3-2022-34996 del 9 de diciembre de 2022, se realizó el cargue de este riesgo en DARUMA con las siguientes novedades: 
•	Aspectos: Identificación del riesgo y análisis de controles
•	Cambios: Se ajustan los controles, de acuerdo a la actualización del procedimiento. Se actualiza el nombre del proceso al cual está asociado el riesgo.
•	Memorando:</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</si>
  <si>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</si>
  <si>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</si>
  <si>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Texto</t>
  </si>
  <si>
    <t>Marco Aurelio Gómez</t>
  </si>
  <si>
    <t>Diana Marcela Velazco</t>
  </si>
  <si>
    <t>Ivan Mauricio Durán</t>
  </si>
  <si>
    <t>Mario Alberto Chacón</t>
  </si>
  <si>
    <t>Johan Sebastián Sáenz</t>
  </si>
  <si>
    <t>Julio Roberto Garzón</t>
  </si>
  <si>
    <t>Carmen Liliana Carrillo</t>
  </si>
  <si>
    <t>Sindy Sthepanie</t>
  </si>
  <si>
    <t>Kelly Mireya Correa</t>
  </si>
  <si>
    <t>Ivan Javier Gómez</t>
  </si>
  <si>
    <t>Heidy Yobanna Moreno Moreno</t>
  </si>
  <si>
    <t>Diana Carolina Cárdenas Clavijo</t>
  </si>
  <si>
    <t>Diego Fernando Peña</t>
  </si>
  <si>
    <t>Maria Camila Barrera</t>
  </si>
  <si>
    <t>Paulo Ernesto Realpe</t>
  </si>
  <si>
    <t>Linda Reales</t>
  </si>
  <si>
    <t>Alvaro Arias Cruz</t>
  </si>
  <si>
    <t>Katina Durán Salcedo</t>
  </si>
  <si>
    <t>María Carolina Cardenas Villamil</t>
  </si>
  <si>
    <t>Jorge Eliecer Gómez</t>
  </si>
  <si>
    <t>Rafael Londoño</t>
  </si>
  <si>
    <t>Gestor</t>
  </si>
  <si>
    <t>Administrador del riesgo</t>
  </si>
  <si>
    <t>VISTO BUENO METODOLÒGICO</t>
  </si>
  <si>
    <t>Linda Katherine Chingate Velez</t>
  </si>
  <si>
    <t>OPCIÓN DE TRATAMIENTO</t>
  </si>
  <si>
    <t>APROBACIÓN</t>
  </si>
  <si>
    <t>MENSAJE</t>
  </si>
  <si>
    <t>O</t>
  </si>
  <si>
    <t>RIESGOS REPORTE ESTADO PROCESOS</t>
  </si>
  <si>
    <t>FUENTE PARA ESTADO PROCESOS</t>
  </si>
  <si>
    <t>Cantidad controles</t>
  </si>
  <si>
    <t>Controles preventivos x riesgo</t>
  </si>
  <si>
    <t>Controles preventivos x proceso</t>
  </si>
  <si>
    <t>Controles detectivos x riesgo</t>
  </si>
  <si>
    <t>Controles detectivos x proceso</t>
  </si>
  <si>
    <t>Controles correctivos x riesgo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</si>
  <si>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</si>
  <si>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</si>
  <si>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</si>
  <si>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</si>
  <si>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</si>
  <si>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</si>
  <si>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</si>
  <si>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</si>
  <si>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</si>
  <si>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</si>
  <si>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</si>
  <si>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EQUPO SIG-MIPG ajustes para pasar a Análisis del riego</t>
  </si>
  <si>
    <t>Controles correctivos x proceso</t>
  </si>
  <si>
    <t>Enfoque del riesgo</t>
  </si>
  <si>
    <t>Id del riesgo en el Aplicativo DARUMA</t>
  </si>
  <si>
    <t>Código del riesgo en el Aplicativo DARUMA</t>
  </si>
  <si>
    <t>Responsable del riesgo</t>
  </si>
  <si>
    <t>Acciones frente a las características de los controles y la valoración de riesgos</t>
  </si>
  <si>
    <t>Responsable de ejecución (acciones tratamiento)</t>
  </si>
  <si>
    <t>Nombre del plan en el Aplicativo DARUMA</t>
  </si>
  <si>
    <t>Id de la acción en el Aplicativo DARUMA</t>
  </si>
  <si>
    <t>Fecha de inicio (acciones tratamiento)</t>
  </si>
  <si>
    <t>Fecha de terminación (acciones tratamiento)</t>
  </si>
  <si>
    <t>-</t>
  </si>
  <si>
    <t>Componente</t>
  </si>
  <si>
    <t>Riesgo</t>
  </si>
  <si>
    <t>Cambio realizado</t>
  </si>
  <si>
    <t>Justificación del cambio</t>
  </si>
  <si>
    <t>PLAN DE ACCIÓN</t>
  </si>
  <si>
    <t>Fecha (control de cambios)</t>
  </si>
  <si>
    <t>Fecha inicio de corte plan de acción</t>
  </si>
  <si>
    <t>Fecha fin de corte plan de acción</t>
  </si>
  <si>
    <t>Versión (fecha del mapa de riesgos institucional)</t>
  </si>
  <si>
    <t>María Camila Reyes</t>
  </si>
  <si>
    <t>María Yenifer Prada</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</si>
  <si>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</si>
  <si>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</si>
  <si>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</si>
  <si>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</si>
  <si>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</si>
  <si>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</si>
  <si>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</si>
  <si>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No aplica</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</si>
  <si>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</si>
  <si>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t>
  </si>
  <si>
    <t xml:space="preserve">- Jefe de la Oficina de Control Disciplinario Interno
- Jefe de la Oficina de Control Disciplinario Interno
</t>
  </si>
  <si>
    <t xml:space="preserve">01/02/2024
01/04/2024
</t>
  </si>
  <si>
    <t xml:space="preserve">30/11/2024
31/12/2024
</t>
  </si>
  <si>
    <t xml:space="preserve">
Establecimiento de controles
Tratamiento del riesgo</t>
  </si>
  <si>
    <t>Se eliminan los controles asociados al Proceso Disciplinario Verbal” Código 2210113-PR-008, Versión 012.
Se formulan acciones de Tratamiento a 2024</t>
  </si>
  <si>
    <t>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t>
  </si>
  <si>
    <t xml:space="preserve">-  Realizar un (1) taller interno de fortalecimiento de la ética del auditor.
</t>
  </si>
  <si>
    <t xml:space="preserve">- Jefe de la Oficina de Control Interno
</t>
  </si>
  <si>
    <t xml:space="preserve">01/08/2024
</t>
  </si>
  <si>
    <t xml:space="preserve">31/08/2024
</t>
  </si>
  <si>
    <t>-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
- Retirar al auditor del trabajo que está realizando, si durante esa auditoria se materializa el riesgo
-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</si>
  <si>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Oficina de Control Interno
- Jefe de la Oficina de Control Interno
- Oficina de Control Interno</t>
  </si>
  <si>
    <t>-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
- Comunicación de la reasignación
-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t>
  </si>
  <si>
    <t>Identificación del riesgo
Establecimiento de controles
Tratamiento del riesgo</t>
  </si>
  <si>
    <t>Se realizó ajuste en la redacción del riesgo para enfocarlo en las conclusiones ajustadas para intereses propios o de terceros, en el resultado de las auditorías
Se incluyó control detectivo para el riesgo.
Se formula la propuesta de acción de tratamiento del riesgo a 2024.</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</si>
  <si>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</si>
  <si>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 xml:space="preserve">- Falta de actualización de algunos sistemas (interfaz, accesibilidad, disponibilidad) que interactúan con los procesos.
- Cambios internos (administrativos y rotación de personal) que impacta la continuidad en la implementación de las estrategias y la transferencia del conocimiento.
- Falta de disponibilidad presupuestal.
- Desconocimiento de la ley mediante interpretaciones subjetivas de las normas vigentes para evitar o postergar su aplicación
</t>
  </si>
  <si>
    <t xml:space="preserve">- La inestabilidad de la conectividad, no disponibilidad de servidores de información y vulnerabilidad en la seguridad informática.
- Constante actualización de directrices Nacionales y Distritales,  que no surten suficientes procesos de socialización. 
- Recorte de recursos financieros que impiden las ejecución de metas establecidas en el cuatrienio.
- Falta de continuidad en los programas y proyectos entre administraciones.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</si>
  <si>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</si>
  <si>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Consulta del patrimonio documental de Bogotá
</t>
  </si>
  <si>
    <t xml:space="preserve">- Crear un procedimiento que contemple las modalidades no incluidas en el proceso, para el ingreso de documentación patrimonial al Archivo de Bogotá
</t>
  </si>
  <si>
    <t xml:space="preserve">- Profesional Universitario
</t>
  </si>
  <si>
    <t xml:space="preserve">01/06/2024
</t>
  </si>
  <si>
    <t xml:space="preserve">31/12/2024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</si>
  <si>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</si>
  <si>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Dirección Distrital de Archivo de Bogotá
- Subdirector(a) de Gestión de Patrimonio Documental del Distrito 
- Profesional universitario de la Subdirección de Gestión de Patrimonio Documental del Distrito								
- Director(a) Distrital de Archivo de Bogotá
- Dirección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</si>
  <si>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t>
  </si>
  <si>
    <t>Se ajusta el contexto del proceso.
Se ajusta la opción donde se señalan los procesos posiblemente afectados con este riesgo. 
Se asocia el servicio Consulta del patrimonio documental de Bogotá
Se ajustan causas internas y causas externas
Se definen acciones de tratamiento para la mitigación del riesgo</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</si>
  <si>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</si>
  <si>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 Falta de actualización de algunos sistemas (interfaz, accesibilidad, disponibilidad) que interactúan con los procesos.
- Cadenas de revisión, validación y aprobación que  retrasan la gestión.
- Cambios internos (administrativos y rotación de personal) que impacta la continuidad en la implementación de las estrategias y la transferencia del conocimiento.
- Uso indebido del poder para la emisión de conceptos técnicos favorables.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</si>
  <si>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Presiones ejercidas por terceros y o ofrecimientos de prebendas, gratificaciones o dadivas.
- No hay conciencia en las entidades del distrito del verdadero impacto de la gestión documental.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</si>
  <si>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</si>
  <si>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Realizar jornadas de seguimiento trimestral para la verificación de la correcta revisión y evaluación de las Tablas de Retención Documental –TRD y Tablas de Valoración Documental –TVD 
</t>
  </si>
  <si>
    <t xml:space="preserve">- Subdirector Técnico
</t>
  </si>
  <si>
    <t xml:space="preserve">01/02/2024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</si>
  <si>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</si>
  <si>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Dirección Distrital de Archivo de Bogotá
- Director(a) Distrital de Archivo de Bogotá
- Profesional(es) Universitario(s)
- Director(a) Distrital de Archivo de Bogotá
- Director(a) Distrital de Archivo de Bogotá
- Dirección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</si>
  <si>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t>
  </si>
  <si>
    <t>Identificación del riesgo
Establecimiento de controles
Evaluación de controles
Tratamiento del riesgo</t>
  </si>
  <si>
    <t>Se ajusta el contexto del proceso.
Se actualiza nombre del riesgo
Se ajusta la opción donde se señalan los procesos posiblemente afectados con este riesgo. 
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Se actualizan controles por actualización de procedimiento PR-293 Revisión y evaluación de las Tablas de Retención Documental –TRD y Tablas de Valoración Documental –TVD
Se ajustan causas internas y causas externas
Se definen acciones de tratamiento para la mitigación del riesgo</t>
  </si>
  <si>
    <t xml:space="preserve">- Procesos estratégicos en el Sistema de Gestión de Calidad
</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</si>
  <si>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</si>
  <si>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</si>
  <si>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Gestionar los Procesos Contractuales
Fase (propósito): Fortalecer la gestión corporativa, jurídica y la estrategia de comunicación conforme con las necesidades de la operación misional de la Entidad.</t>
  </si>
  <si>
    <t>7873 Fortalecimiento de la capacidad institucional de la Secretaría General</t>
  </si>
  <si>
    <t xml:space="preserve">- Desarrollar dos (2) jornadas de socialización y/o taller dirigido a los funcionarios y contratistas de la Entidad sobre la debida aplicación de la Guía para la estructuración de estudios previos 4231000-GS-081.
</t>
  </si>
  <si>
    <t xml:space="preserve">- Director de Contratación
</t>
  </si>
  <si>
    <t>Se incluyó una acción de tratamiento del riesgo  para la vigencia 2024
Se ajustó el número de veces que se ejecutó la actividad clave asociada al riesgo, en el periodo de un (1) año.</t>
  </si>
  <si>
    <t>- Dirección de Contratación
- Director(a) de Contratación
- Director(a) de Contratación
- Dirección de Contratación</t>
  </si>
  <si>
    <t xml:space="preserve">- Desarrollar una (1) jornada de socialización y/o taller sobre la publicación de manera oportuna y de acuerdo con la normatividad vigente de la documentación que soporta la ejecución de los contratos o convenios, en el portal de contratación pública / SECOP.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
</t>
  </si>
  <si>
    <t xml:space="preserve">- Director de Contratación
- Director de Contratación
</t>
  </si>
  <si>
    <t xml:space="preserve">01/03/2024
01/03/2024
</t>
  </si>
  <si>
    <t xml:space="preserve">30/06/2024
30/06/2024
</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</si>
  <si>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</si>
  <si>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</si>
  <si>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</si>
  <si>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riesgo Posibilidad de afectación reputacional por pérdida de la confianza ciudadana en la gestión contractual de la Entidad, debido a decisiones ajustadas a intereses propios o de terceros durante la etapa precontractual con el fin de celebrar un contrato </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</si>
  <si>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Riesgo de Posibilidad de afectación reputacional por pérdida de la confianza ciudadana en la gestión contractual de la Entidad, debido a decisiones ajustadas a intereses propios o de terceros durante la etapa precontractual con el fin de celebrar un contrato , actualizado.</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</si>
  <si>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</si>
  <si>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xml:space="preserve">-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</si>
  <si>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 actualizado.</t>
  </si>
  <si>
    <t>Administrar los bienes adquiridos mediante su recepción, asignación, mantenimiento, control y baja de los mismos con el fin de cubrir las necesidades de recursos físicos de las dependencias de la Secretaría General de la Alcaldía Mayor de Bogotá D.C.</t>
  </si>
  <si>
    <t>Subdirector(a) de Servicios Administrativos y Jefe Oficina de Tecnologías de la Información y las Comunicaciones</t>
  </si>
  <si>
    <t xml:space="preserve">- Procesos de apoyo en el Sistema de Gestión de Calidad
</t>
  </si>
  <si>
    <t>- Subdirección de Servicios Administrativos
- Subdirector(a) de Servicios Administrativos
- Subdirector(a) de Servicios Administrativos
- Subdirector(a) de Servicios Administrativos
- Subdirección de Servicios Administrativos</t>
  </si>
  <si>
    <t xml:space="preserve">Administrar los Inventarios de bienes de la entidad </t>
  </si>
  <si>
    <t>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</si>
  <si>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Actualizar el procedimiento PR-148 Ingreso o entrada de bienes con respecto a la revisión de controles definidos y condiciones generales del documento.
</t>
  </si>
  <si>
    <t xml:space="preserve">- Subdirector (a) de Servicios Administrativos
</t>
  </si>
  <si>
    <t xml:space="preserve">30/06/2024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</si>
  <si>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</si>
  <si>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t>
  </si>
  <si>
    <t>Se incluyó una acción de tratamiento del riesgo para la vigencia 2024
Se ajustó el número de veces que se ejecutó la actividad clave asociada al riesgo, en el periodo de un (1) año.</t>
  </si>
  <si>
    <t>Administrar los Inventarios de bienes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</si>
  <si>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</si>
  <si>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Actualizar los procedimientos PR-235 Control y Seguimiento con respecto a los controles definidos y las condiciones generales del documento.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</si>
  <si>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</si>
  <si>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Subdirección de Servicios Administrativos
- Subdirector(a) de Servicios Administrativos
- Subdirector(a) de Servicios Administrativos
- Subdirección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</si>
  <si>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</si>
  <si>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</si>
  <si>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Se determina la probabilidad (Muy baja 1)  teniendo en cuenta que no se he presentado en los últimos cuatro años. El impacto (Mayor 4) obedece a la afectación de la imagen y las sanciones por entes de control que se puedan generar la posibilidad de la materialización del riesgo.</t>
  </si>
  <si>
    <t xml:space="preserve">- Realizar una campaña de comunicación interna enfocada en las solicitudes que se pueden atender con los recursos de la caja menor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</si>
  <si>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</si>
  <si>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Subdirección de Servicios Administrativos
- Subdirector(a) de Servicios Administrativos.
- Subdirector Servicios Administrativos
- Subdirección de Servicios Administrativos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</si>
  <si>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t>
  </si>
  <si>
    <t>Se incluye acción de tratamiento para el riesgo.</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</si>
  <si>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</si>
  <si>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Perdida de credibilidad del proceso y de la entidad
- Uso indebido e inadecuado de información de la Secretaria General
- Sanciones disciplinarias fiscales y penales
- Perdida de información de la entidad
</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</si>
  <si>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</si>
  <si>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Realizar sensibilización cuatrimestral sobre el manejo y custodia de los documentos conforme a los lineamientos establecidos en el proceso.
</t>
  </si>
  <si>
    <t xml:space="preserve">- Subdirector(a) de Gestión Documental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</si>
  <si>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Gestión Documental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
-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</si>
  <si>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Subdirección de Gestión Documental
- Subdirector(a) de Gestión Documental
- Subdirector(a) de Gestión Documental
- Subdirector(a) de Gestión Documental
- Subdirector(a) de Gestión Documental
- Subdirector(a) de Gestión Documental
- Subdirección de Gestión Documental</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</si>
  <si>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actualizado TRD
- Memorando  de reporte a la Oficina de Control Interno
- Notificación a la autoridad competente
- Mapa de riesgos
-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t>
  </si>
  <si>
    <t>Se ajustaron las causas internas y se agrego una acción de tratamiento para la vigencia 2024
Se ajustó los centros de costo de los documentos asociados a las actividades de control del riesgo
Se incluye acción de tratamiento para el riesgo.</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</si>
  <si>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</si>
  <si>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</si>
  <si>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</si>
  <si>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Desarrollar conciliación automática de los saldos entre el sistema PERNO VS Sistema Contable LIMAY
</t>
  </si>
  <si>
    <t xml:space="preserve">- Subdirector Financiero
</t>
  </si>
  <si>
    <t xml:space="preserve">01/04/2024
</t>
  </si>
  <si>
    <t xml:space="preserve">31/10/2024
</t>
  </si>
  <si>
    <t xml:space="preserve">-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</si>
  <si>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Subdirección Financiera
- Subdirector Financiero
- Subdirector Financiero
- Subdirector Financiero
- Profesional de la Subdirección Financiera
- Subdirección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</si>
  <si>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t>
  </si>
  <si>
    <t>Se actualizan los controles preventivos y detectivos frente al riesgo.
Se define la propuesta de acción de tratamiento a 2024.</t>
  </si>
  <si>
    <t>Garantizar el registro adecuado y oportuno de los hechos económicos de la Entidad, que permite elaborar y presentar los estados financieros.</t>
  </si>
  <si>
    <t xml:space="preserve">- Efectuar la conciliación de las CXP entre el sistema contable (LIMAY) y el sistema de información presupuestal  (Bogdata) previo al término del reporte 
</t>
  </si>
  <si>
    <t xml:space="preserve">29/02/2024
</t>
  </si>
  <si>
    <t xml:space="preserve">-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t>
  </si>
  <si>
    <t>- Subdirección Financiera
- Profesional de la Subdirección Financiera
- Profesional de la Subdirección Financiera
- Subdirección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</si>
  <si>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t>
  </si>
  <si>
    <t xml:space="preserve">Asesorar y representar jurídicamente a la Secretaría General de la Alcaldía Mayor Bogotá D.C. mediante el análisis, trámite, defensa y solución de asuntos de carácter jurídico que surjan en el desarrollo de las funciones.  </t>
  </si>
  <si>
    <t>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t>
  </si>
  <si>
    <t>Gestionar la defensa judicial y extrajudicial de la Secretaria General</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</si>
  <si>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</si>
  <si>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Oficina Jurídica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</si>
  <si>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</si>
  <si>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</si>
  <si>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xml:space="preserve">-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</si>
  <si>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 Jefe de Oficina Jurídica 
</t>
  </si>
  <si>
    <t>-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</si>
  <si>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 Oficina Jurídica 
- Comité de Conciliación 
- Comité de Conciliación 
- Oficina Jurídica </t>
  </si>
  <si>
    <t>-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del Comité de Conciliación 
- Acta del Comité de Conciliación 
-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t>
  </si>
  <si>
    <t>De acuerdo con la actualización de la DOFA, se ajusto los factores del riesgo y las causas externas. 
Se realizó el análisis de controles de la probabilidad por el criterio de frecuencia y se actualizo la valoración del impacto.
Se realizó el análisis después de controles teniendo en cuenta la valoración obtenida con los controles definidos.
Se definió el impacto de acuerdo con la valoración obtenida del criterio corrupción.
Se ajustó la redacción de los controles preventivos  y detectivos
Se definió la acción de tratamiento a 2024</t>
  </si>
  <si>
    <t>Subsecretario(a) de Servicio a la Ciudadanía y Jefe de Oficina de Alta Consejería Distrital de Tecnologías de Información y Comunicaciones –TIC</t>
  </si>
  <si>
    <t>Dirección del Sistema Distrital de Servicio a la Ciudadanía</t>
  </si>
  <si>
    <t xml:space="preserve">- Información general y orientación de Trámites y Servicios a la ciudadanía en los canales de atención de la RED CADE
</t>
  </si>
  <si>
    <t xml:space="preserve">Dirección Distrital de Calidad del Servicio </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</si>
  <si>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</si>
  <si>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</si>
  <si>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evaluación en el Sistema de Gestión de Calidad
</t>
  </si>
  <si>
    <t>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t>
  </si>
  <si>
    <t xml:space="preserve">- Sensibilizar a los servidores de la Dirección del Sistema Distrital de Servicio a la Ciudadanía sobre los valores de integridad y las posibles consecuencias disciplinarias establecidas en el Código Disciplinario Único. 
</t>
  </si>
  <si>
    <t xml:space="preserve">- Gestores de transparencia e integridad de la Dirección del Sistema Distrital de Servicio a la Ciudadana.
</t>
  </si>
  <si>
    <t>-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</si>
  <si>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Dirección del Sistema Distrital de Servicio a la Ciudadanía
- Director (a) del Sistema Distrital de Servicio a la Ciudadanía
- Dirección del Sistema Distrital de Servicio a la Ciudadanía</t>
  </si>
  <si>
    <t>-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t>
  </si>
  <si>
    <t>Se ajusta el nombre del riesgo incorporando en su redacción el nombre del el servicio asociado a este.
Se relaciona el servicio "Información general y orientación de Trámites y Servicios a la ciudadanía en los canales de atención de la RED CADE" en la lista desplegable.
Se ajusta la valoración por probabilidad antes de controles en cuanto a la ocurrencia del riesgo, dado que no se ha materializado en los últimos 4 años, así mismo, se ajusta la explicación de la valoración obtenida.
Se ajusta la redacción de controles en cuanto a los centros de costo relacionados a los documentos
Se define la acción preventiva para evitar la materialización del riesgo.</t>
  </si>
  <si>
    <t xml:space="preserve">- Sensibilizar a los servidores de la Dirección Distrital de Calidad del Servicio sobre los valores de integridad, con relación al servicio a la ciudadanía.
</t>
  </si>
  <si>
    <t xml:space="preserve">- Gestor de integridad de la Dirección Distrital de Calidad del Servicio.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</si>
  <si>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</si>
  <si>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Dirección Distrital de Calidad del Servicio 
- Director Distrital de Calidad del Servicio
- Director Distrital de Calidad del Servicio
- Dirección Distrital de Calidad del Servicio </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</si>
  <si>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t>
  </si>
  <si>
    <t>Se define la acción preventiva para evitar la materialización del riesgo.</t>
  </si>
  <si>
    <t>Oficina de Alta Consejería Distrital de Tecnologías de Información y Comunicaciones –TIC</t>
  </si>
  <si>
    <t xml:space="preserve">- Proyectos (ATIC)
- Asesoría técnica a entidades distritales
</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</si>
  <si>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</si>
  <si>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</si>
  <si>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t>
  </si>
  <si>
    <t xml:space="preserve">- Sensibilizar cuatrimestralmente al equipo de la Alta Consejería Distrital de TIC sobre los valores de integridad
</t>
  </si>
  <si>
    <t xml:space="preserve">- Profesionales responsables de riesgos de la ACDTIC y Gestor de integridad
</t>
  </si>
  <si>
    <t>-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
- Reasignar la asesoría a un nuevo profesional para continuar con la prestación del servicio de asesoría técnica en materia TIC
- Retomar la asesoría realizando los ajustes pertinentes a los documentos relacionados con la  asesoría Técnica en materia TIC
-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</si>
  <si>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Oficina de Alta Consejería Distrital de Tecnologías de Información y Comunicaciones –TIC
- Jefe Oficina de la Alta Consejería Distrital de TIC
- Jefe Oficina de la Alta Consejería Distrital de TIC
- Oficina de Alta Consejería Distrital de Tecnologías de Información y Comunicaciones –TIC</t>
  </si>
  <si>
    <t>-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
- Formato de asesoría técnica actualizado 
- Documentos ajustados relacionados con la asesoría técnica en materia TIC
-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t>
  </si>
  <si>
    <t>Se ajusta el nombre en cuanto a redacción.
Se relacionan los servicios "Asesoría técnica a entidades distritales y Proyectos" asociados al riesgo.
Se ajusta la redacción de la explicación de la valoración obtenida después de controles, para dar mayor claridad.
Se define la acción preventiva para evitar la materialización del riesgo.
Se ajustan los controles correctivos en coherencia con el ajuste efectuado en las acciones de contingencia del riesgo.
Se ajustan las acciones de contingencia.</t>
  </si>
  <si>
    <t xml:space="preserve">- Falta de integridad del funcionario.
- Existencia de intereses personales del funcionario.
- Abuso de la condición de servidor público a través de la solicitud y/o aceptación de dádivas.
- Uso indebido de usuarios asignados en el sistema de información.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</si>
  <si>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</si>
  <si>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Otorgamiento de la ayuda humanitaria inmediata
</t>
  </si>
  <si>
    <t>7871 Construcción de Bogotá-región como territorio de paz para las víctimas y la reconciliación</t>
  </si>
  <si>
    <t xml:space="preserve">-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t>
  </si>
  <si>
    <t xml:space="preserve">- Directora de Reparación Integral
</t>
  </si>
  <si>
    <t xml:space="preserve">01/03/2024
</t>
  </si>
  <si>
    <t xml:space="preserve">30/09/2024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</si>
  <si>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</si>
  <si>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Oficina Alta Consejería de Paz, Víctimas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</si>
  <si>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t>
  </si>
  <si>
    <t>Identificación del riesgo
Análisis antes de controles
Establecimiento de controles
Tratamiento del riesgo</t>
  </si>
  <si>
    <t>Se ajustan los controles, de acuerdo a la actualización del procedimiento 4130000-PR-315 “Otorgar ayuda o atención humanitaria inmediata”
Se ajustan las causas, y se define la acción de tratamiento 2024.</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</si>
  <si>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</si>
  <si>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</si>
  <si>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Oficina de Control Disciplinario Interno, Oficina Jurídica y Despacho de la Secretaría General</t>
  </si>
  <si>
    <t>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</si>
  <si>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xml:space="preserve">- Profesionales Subdirección de Servicios Administrativos
</t>
  </si>
  <si>
    <t xml:space="preserve">31/12/2024
31/12/2024
</t>
  </si>
  <si>
    <t xml:space="preserve">28/04/2024
</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</si>
  <si>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</si>
  <si>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</si>
  <si>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8. Fomentar la innovación y la gestión del conocimiento, a través del fortalecimiento de las competencias del talento humano de la entidad, con el propósito de mejorar la capacidad institucional y su gestión.</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</si>
  <si>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</si>
  <si>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</si>
  <si>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</si>
  <si>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</si>
  <si>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</si>
  <si>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</si>
  <si>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</si>
  <si>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t>
  </si>
  <si>
    <t xml:space="preserve">- Profesional Especializado o Universitario de la Dirección de Talento Humano.
- Director(a) Técnico(a) de la Dirección de Talento Humano.
</t>
  </si>
  <si>
    <t xml:space="preserve">15/02/2024
15/02/2024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</si>
  <si>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</si>
  <si>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Dirección de Talento Humano
- Director(a) Técnico(a) de la Dirección de Talento Humano y Profesional Especializado o Universitario de la Dirección de Talento Humano.
- Dirección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</si>
  <si>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t>
  </si>
  <si>
    <t>Se ajustó la redacción de las actividades de control preventivo y detectivo.
Se retiró control detectivo # 5 por encontrarse duplicado..
Se definieron acciones de tratamiento para la vigencia  2024.</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</si>
  <si>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</si>
  <si>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</si>
  <si>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</si>
  <si>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</si>
  <si>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t>
  </si>
  <si>
    <t xml:space="preserve">- Profesional Especializado o Universitario de la Dirección de Talento Humano.
</t>
  </si>
  <si>
    <t xml:space="preserve">15/02/2024
</t>
  </si>
  <si>
    <t xml:space="preserve">-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 el requerimiento a el(la) servidor(a) sobre la devolución del dinero adicional reconocido en los pagos de nómina y las demás acciones a que haya lugar para efectiva la recuperación del dinero.
-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</si>
  <si>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Dirección de Talento Humano
- Director(a) Técnico(a) de la Dirección de Talento Humano o quien se designe por competencia.
- Director(a) Técnico(a) de la Dirección de Talento Humano y Profesional Especializado o Universitario de la Dirección de Talento Humano.
- Director(a) Técnico(a) de la Dirección de Talento Humano.
- Dirección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</si>
  <si>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t>
  </si>
  <si>
    <t>Se ajustó la redacción de las actividades de control preventivo y detectivo.
Se definió acción de tratamiento para la vigencia  2024.</t>
  </si>
  <si>
    <t>Ejecutar las actividades del Sistema de Gestión de la Seguridad y Salud en el Trabajo.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</si>
  <si>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</si>
  <si>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</si>
  <si>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</si>
  <si>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y realizar seguimiento al cronograma 2024 para la realización de la  verificación de la completitud e idoneidad de los productos contenidos en los botiquines de las sedes de la Secretaría General de la Alcaldía Mayor de Bogotá, D.C.
</t>
  </si>
  <si>
    <t xml:space="preserve">- Profesional Universitario de la Dirección de Talento Humano.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</si>
  <si>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</si>
  <si>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Dirección de Talento Humano
- Profesional Universitario de la Dirección de Talento Humano. 
- Director(a) Técnico(a) de la Dirección de Talento Humano y Profesional Universitario de la Dirección de Talento Humano.
- Dirección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</si>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</sst>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style="thin">
        <color indexed="64"/>
      </left>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59">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Alignment="1" applyProtection="1">
      <alignment horizontal="center" vertical="center"/>
      <protection hidden="1"/>
    </xf>
    <xf numFmtId="0" fontId="0" fillId="0" borderId="11" xfId="0" applyBorder="1" applyProtection="1">
      <protection hidden="1"/>
    </xf>
    <xf numFmtId="0" fontId="0" fillId="2" borderId="0" xfId="0" applyFill="1" applyProtection="1">
      <protection hidden="1"/>
    </xf>
    <xf numFmtId="0" fontId="15" fillId="27" borderId="0" xfId="0" applyFont="1" applyFill="1" applyAlignment="1" applyProtection="1">
      <alignment horizontal="center" vertical="center"/>
      <protection hidden="1"/>
    </xf>
    <xf numFmtId="0" fontId="18" fillId="13"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1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8" fillId="7" borderId="0" xfId="0" applyFont="1" applyFill="1" applyAlignment="1" applyProtection="1">
      <alignment horizontal="center" vertical="center"/>
      <protection hidden="1"/>
    </xf>
    <xf numFmtId="0" fontId="7" fillId="0" borderId="0" xfId="0" applyFont="1" applyProtection="1">
      <protection hidden="1"/>
    </xf>
    <xf numFmtId="0" fontId="0" fillId="2"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0" borderId="12" xfId="0" applyBorder="1" applyProtection="1">
      <protection hidden="1"/>
    </xf>
    <xf numFmtId="0" fontId="18"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6" fillId="0" borderId="0" xfId="0" applyFont="1" applyProtection="1">
      <protection hidden="1"/>
    </xf>
    <xf numFmtId="0" fontId="19" fillId="7" borderId="0" xfId="0" applyFont="1" applyFill="1" applyAlignment="1" applyProtection="1">
      <alignment horizontal="center" vertical="center"/>
      <protection hidden="1"/>
    </xf>
    <xf numFmtId="0" fontId="19" fillId="13" borderId="0" xfId="0" applyFont="1" applyFill="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Alignment="1">
      <alignment horizontal="center" vertical="center"/>
    </xf>
    <xf numFmtId="0" fontId="0" fillId="0" borderId="5" xfId="0" applyBorder="1" applyAlignment="1">
      <alignment horizontal="center" vertical="center"/>
    </xf>
    <xf numFmtId="0" fontId="1" fillId="0" borderId="15" xfId="0" applyFont="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1" fillId="0" borderId="15" xfId="0" applyFont="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Border="1" applyProtection="1">
      <protection hidden="1"/>
    </xf>
    <xf numFmtId="0" fontId="1" fillId="0" borderId="9" xfId="0" applyFont="1" applyBorder="1" applyAlignment="1" applyProtection="1">
      <alignment horizontal="center" vertical="center"/>
      <protection hidden="1"/>
    </xf>
    <xf numFmtId="0" fontId="0" fillId="0" borderId="0" xfId="0"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1" fillId="0" borderId="15" xfId="0" applyFont="1" applyBorder="1" applyAlignment="1">
      <alignment horizontal="center" vertical="center"/>
    </xf>
    <xf numFmtId="0" fontId="15" fillId="12" borderId="0" xfId="0" applyFont="1" applyFill="1" applyAlignment="1">
      <alignment horizontal="left" vertical="center"/>
    </xf>
    <xf numFmtId="0" fontId="0" fillId="0" borderId="0" xfId="0"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Border="1" applyAlignment="1">
      <alignment horizontal="left" vertical="center"/>
    </xf>
    <xf numFmtId="0" fontId="1" fillId="0" borderId="5" xfId="0" applyFont="1" applyBorder="1" applyAlignment="1">
      <alignment horizontal="center" vertical="center"/>
    </xf>
    <xf numFmtId="0" fontId="8" fillId="0" borderId="0" xfId="0" applyFont="1" applyAlignment="1">
      <alignment horizontal="center" vertical="center"/>
    </xf>
    <xf numFmtId="0" fontId="2" fillId="0" borderId="25"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17"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5" xfId="0" pivotButton="1" applyBorder="1" applyAlignment="1" applyProtection="1">
      <alignment vertical="center" wrapText="1"/>
      <protection hidden="1"/>
    </xf>
    <xf numFmtId="0" fontId="0" fillId="0" borderId="7" xfId="0" applyBorder="1" applyAlignment="1" applyProtection="1">
      <alignment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1" fillId="0" borderId="13" xfId="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0" fillId="0" borderId="4" xfId="0" applyFont="1" applyBorder="1" applyAlignment="1" applyProtection="1">
      <alignment horizontal="justify" vertical="center" wrapText="1"/>
      <protection hidden="1"/>
    </xf>
    <xf numFmtId="164" fontId="10" fillId="0" borderId="1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0" fillId="0" borderId="23" xfId="0" applyFont="1"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22" xfId="0"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0" fillId="0" borderId="20" xfId="0" applyFont="1" applyBorder="1" applyAlignment="1" applyProtection="1">
      <alignment horizontal="justify" vertical="center" wrapText="1"/>
      <protection hidden="1"/>
    </xf>
    <xf numFmtId="0" fontId="10" fillId="0" borderId="15" xfId="0" applyFont="1" applyBorder="1" applyAlignment="1" applyProtection="1">
      <alignment horizontal="justify" vertical="center" wrapText="1"/>
      <protection hidden="1"/>
    </xf>
    <xf numFmtId="0" fontId="0" fillId="0" borderId="16" xfId="0" applyBorder="1" applyAlignment="1" applyProtection="1">
      <alignment horizontal="left" vertical="center" wrapText="1"/>
      <protection hidden="1"/>
    </xf>
    <xf numFmtId="0" fontId="0" fillId="0" borderId="15" xfId="0" applyBorder="1" applyAlignment="1" applyProtection="1">
      <alignment horizontal="center" vertical="center" wrapText="1"/>
      <protection hidden="1"/>
    </xf>
    <xf numFmtId="0" fontId="0" fillId="0" borderId="13" xfId="0" pivotButton="1" applyBorder="1" applyAlignment="1" applyProtection="1">
      <alignment vertical="center" wrapText="1"/>
      <protection hidden="1"/>
    </xf>
    <xf numFmtId="0" fontId="0" fillId="0" borderId="17" xfId="0" pivotButton="1" applyBorder="1" applyAlignment="1" applyProtection="1">
      <alignment horizontal="center"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22" fillId="0" borderId="0" xfId="0" applyNumberFormat="1" applyFont="1" applyAlignment="1" applyProtection="1">
      <alignment vertical="center" wrapText="1"/>
      <protection hidden="1"/>
    </xf>
    <xf numFmtId="165" fontId="22" fillId="0" borderId="11" xfId="0" applyNumberFormat="1" applyFont="1" applyBorder="1" applyAlignment="1" applyProtection="1">
      <alignment vertical="center" wrapText="1"/>
      <protection hidden="1"/>
    </xf>
    <xf numFmtId="0" fontId="10" fillId="0" borderId="4"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textRotation="90" wrapText="1"/>
      <protection hidden="1"/>
    </xf>
    <xf numFmtId="9" fontId="10" fillId="0" borderId="4" xfId="0" applyNumberFormat="1" applyFont="1" applyBorder="1" applyAlignment="1" applyProtection="1">
      <alignment horizontal="center" vertical="center" textRotation="90" wrapText="1"/>
      <protection hidden="1"/>
    </xf>
    <xf numFmtId="0" fontId="10" fillId="0" borderId="4" xfId="0" quotePrefix="1" applyFont="1" applyBorder="1" applyAlignment="1" applyProtection="1">
      <alignment horizontal="justify" vertical="center" wrapText="1"/>
      <protection hidden="1"/>
    </xf>
    <xf numFmtId="166" fontId="10" fillId="0" borderId="4" xfId="0" applyNumberFormat="1" applyFont="1" applyBorder="1" applyAlignment="1" applyProtection="1">
      <alignment horizontal="center" vertical="center" wrapText="1"/>
      <protection hidden="1"/>
    </xf>
    <xf numFmtId="14" fontId="10" fillId="0" borderId="4" xfId="0" quotePrefix="1" applyNumberFormat="1" applyFont="1" applyBorder="1" applyAlignment="1" applyProtection="1">
      <alignment horizontal="justify" vertical="center" wrapText="1"/>
      <protection hidden="1"/>
    </xf>
    <xf numFmtId="0" fontId="22" fillId="0" borderId="13" xfId="0" applyFont="1" applyBorder="1" applyAlignment="1" applyProtection="1">
      <alignment vertical="center" wrapText="1"/>
      <protection hidden="1"/>
    </xf>
    <xf numFmtId="0" fontId="0" fillId="0" borderId="26" xfId="0" applyNumberFormat="1" applyBorder="1" applyAlignment="1" applyProtection="1">
      <alignment horizontal="center" vertical="center" wrapText="1"/>
      <protection hidden="1"/>
    </xf>
    <xf numFmtId="0" fontId="0" fillId="0" borderId="11" xfId="0" applyNumberFormat="1" applyBorder="1" applyAlignment="1" applyProtection="1">
      <alignment horizontal="center" vertical="center" wrapText="1"/>
      <protection hidden="1"/>
    </xf>
    <xf numFmtId="0" fontId="0" fillId="0" borderId="13" xfId="0" applyNumberFormat="1" applyBorder="1" applyAlignment="1" applyProtection="1">
      <alignment horizontal="center" wrapText="1"/>
      <protection hidden="1"/>
    </xf>
    <xf numFmtId="0" fontId="0" fillId="0" borderId="4" xfId="0" applyBorder="1" applyAlignment="1" applyProtection="1">
      <alignment vertical="center" wrapText="1"/>
      <protection hidden="1"/>
    </xf>
    <xf numFmtId="0" fontId="0" fillId="0" borderId="28" xfId="0" applyNumberFormat="1" applyBorder="1" applyAlignment="1" applyProtection="1">
      <alignment horizontal="center" vertical="center" wrapText="1"/>
      <protection hidden="1"/>
    </xf>
    <xf numFmtId="0" fontId="0" fillId="0" borderId="29" xfId="0" applyBorder="1" applyAlignment="1" applyProtection="1">
      <alignment horizontal="left" vertical="center" wrapText="1"/>
      <protection hidden="1"/>
    </xf>
    <xf numFmtId="0" fontId="0" fillId="0" borderId="27" xfId="0" applyNumberFormat="1" applyBorder="1" applyAlignment="1" applyProtection="1">
      <alignment horizontal="center" vertical="center" wrapText="1"/>
      <protection hidden="1"/>
    </xf>
    <xf numFmtId="0" fontId="0" fillId="0" borderId="16" xfId="0" applyNumberFormat="1" applyBorder="1" applyAlignment="1" applyProtection="1">
      <alignment horizontal="center" vertical="center" wrapText="1"/>
      <protection hidden="1"/>
    </xf>
    <xf numFmtId="0" fontId="0" fillId="0" borderId="4" xfId="0" applyNumberFormat="1" applyBorder="1" applyAlignment="1" applyProtection="1">
      <alignment horizontal="center" wrapText="1"/>
      <protection hidden="1"/>
    </xf>
    <xf numFmtId="0" fontId="0" fillId="0" borderId="29" xfId="0" applyNumberFormat="1" applyBorder="1" applyAlignment="1" applyProtection="1">
      <alignment horizontal="center" vertical="center" wrapText="1"/>
      <protection hidden="1"/>
    </xf>
    <xf numFmtId="0" fontId="11" fillId="0" borderId="0" xfId="1" applyBorder="1" applyAlignment="1" applyProtection="1">
      <alignment vertical="center" wrapText="1"/>
      <protection hidden="1"/>
    </xf>
    <xf numFmtId="0" fontId="13" fillId="0" borderId="4"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4" fillId="0" borderId="0" xfId="0" applyFont="1" applyAlignment="1" applyProtection="1">
      <alignment horizontal="justify" vertical="center" wrapText="1"/>
      <protection hidden="1"/>
    </xf>
    <xf numFmtId="0" fontId="2" fillId="0" borderId="0" xfId="0" applyFont="1" applyAlignment="1" applyProtection="1">
      <alignment wrapText="1"/>
      <protection hidden="1"/>
    </xf>
    <xf numFmtId="0" fontId="4" fillId="0" borderId="4"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3" fillId="0" borderId="30"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31" xfId="0" applyFont="1" applyBorder="1" applyAlignment="1" applyProtection="1">
      <alignment horizontal="center" vertical="center" wrapText="1"/>
      <protection hidden="1"/>
    </xf>
    <xf numFmtId="0" fontId="23" fillId="0" borderId="32"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1" fillId="2" borderId="0" xfId="0" applyFont="1" applyFill="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1" fillId="0" borderId="0" xfId="1" applyBorder="1" applyAlignment="1" applyProtection="1">
      <alignment horizontal="center" vertical="center" wrapText="1"/>
      <protection hidden="1"/>
    </xf>
  </cellXfs>
  <cellStyles count="4">
    <cellStyle name="Hipervínculo" xfId="1" builtinId="8"/>
    <cellStyle name="Normal" xfId="0" builtinId="0"/>
    <cellStyle name="Normal 2" xfId="2"/>
    <cellStyle name="Porcentaje" xfId="3" builtinId="5"/>
  </cellStyles>
  <dxfs count="131">
    <dxf>
      <font>
        <color rgb="FFFF0000"/>
      </font>
      <fill>
        <patternFill>
          <bgColor rgb="FFFF000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rgb="FFFFFF00"/>
      </font>
      <fill>
        <patternFill>
          <bgColor rgb="FFFFFF00"/>
        </patternFill>
      </fill>
    </dxf>
    <dxf>
      <font>
        <color rgb="FFFFC000"/>
      </font>
      <fill>
        <patternFill>
          <bgColor rgb="FFFFC000"/>
        </patternFill>
      </fill>
    </dxf>
    <dxf>
      <border>
        <left style="thin">
          <color indexed="64"/>
        </left>
      </border>
    </dxf>
    <dxf>
      <border>
        <left style="thin">
          <color indexed="64"/>
        </left>
      </border>
    </dxf>
    <dxf>
      <border>
        <horizontal style="dashed">
          <color indexed="64"/>
        </horizontal>
      </border>
    </dxf>
    <dxf>
      <border>
        <horizontal style="dashed">
          <color indexed="64"/>
        </horizontal>
      </border>
    </dxf>
    <dxf>
      <border>
        <bottom style="dashed">
          <color indexed="64"/>
        </bottom>
      </border>
    </dxf>
    <dxf>
      <border>
        <bottom style="dashed">
          <color indexed="64"/>
        </bottom>
      </border>
    </dxf>
    <dxf>
      <alignment vertical="center"/>
    </dxf>
    <dxf>
      <alignment vertical="center"/>
    </dxf>
    <dxf>
      <alignment horizontal="center"/>
    </dxf>
    <dxf>
      <alignment vertical="center"/>
    </dxf>
    <dxf>
      <alignment horizontal="center"/>
    </dxf>
    <dxf>
      <border>
        <right/>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border>
        <left style="thin">
          <color indexed="64"/>
        </lef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[Mapa_de_Riesgos_Institucional_Corrupción_2024-01-29_sc.xlsx]Procesos_riesgos!TablaDinámica3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75"/>
        <c:overlap val="40"/>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2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[Mapa_de_Riesgos_Institucional_Corrupción_2024-01-29_sc.xlsx]Procesos_riesgos!TablaDinámica1</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r>
              <a:rPr lang="en-US" sz="1400" b="0" i="0" baseline="0">
                <a:solidFill>
                  <a:schemeClr val="tx1"/>
                </a:solidFill>
                <a:effectLst/>
              </a:rPr>
              <a:t>NÚMERO DE RIESGOS POR DEPENDENCIA</a:t>
            </a:r>
            <a:endParaRPr lang="es-CO"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pivotFmt>
    </c:pivotFmts>
    <c:plotArea>
      <c:layout/>
      <c:barChart>
        <c:barDir val="bar"/>
        <c:grouping val="clustered"/>
        <c:varyColors val="0"/>
        <c:ser>
          <c:idx val="0"/>
          <c:order val="0"/>
          <c:tx>
            <c:strRef>
              <c:f>Procesos_riesgos!$B$30:$B$31</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Procesos_riesgos!$A$32:$A$45</c:f>
              <c:strCache>
                <c:ptCount val="13"/>
                <c:pt idx="0">
                  <c:v>Dirección de Contratación</c:v>
                </c:pt>
                <c:pt idx="1">
                  <c:v>Dirección de Talento Humano</c:v>
                </c:pt>
                <c:pt idx="2">
                  <c:v>Dirección Distrital de Archivo de Bogotá</c:v>
                </c:pt>
                <c:pt idx="3">
                  <c:v>Oficina Alta Consejería de Paz, Víctimas y Reconciliación</c:v>
                </c:pt>
                <c:pt idx="4">
                  <c:v>Oficina de Control Interno</c:v>
                </c:pt>
                <c:pt idx="5">
                  <c:v>Subdirección de Gestión Documental</c:v>
                </c:pt>
                <c:pt idx="6">
                  <c:v>Subdirección de Servicios Administrativos</c:v>
                </c:pt>
                <c:pt idx="7">
                  <c:v>Subdirección Financiera</c:v>
                </c:pt>
                <c:pt idx="8">
                  <c:v>Oficina de Control Disciplinario Interno, Oficina Jurídica y Despacho de la Secretaría General</c:v>
                </c:pt>
                <c:pt idx="9">
                  <c:v>Oficina Jurídica </c:v>
                </c:pt>
                <c:pt idx="10">
                  <c:v>Dirección del Sistema Distrital de Servicio a la Ciudadanía</c:v>
                </c:pt>
                <c:pt idx="11">
                  <c:v>Dirección Distrital de Calidad del Servicio </c:v>
                </c:pt>
                <c:pt idx="12">
                  <c:v>Oficina de Alta Consejería Distrital de Tecnologías de Información y Comunicaciones –TIC</c:v>
                </c:pt>
              </c:strCache>
            </c:strRef>
          </c:cat>
          <c:val>
            <c:numRef>
              <c:f>Procesos_riesgos!$B$32:$B$45</c:f>
              <c:numCache>
                <c:formatCode>General</c:formatCode>
                <c:ptCount val="13"/>
                <c:pt idx="0">
                  <c:v>2</c:v>
                </c:pt>
                <c:pt idx="1">
                  <c:v>3</c:v>
                </c:pt>
                <c:pt idx="2">
                  <c:v>2</c:v>
                </c:pt>
                <c:pt idx="3">
                  <c:v>1</c:v>
                </c:pt>
                <c:pt idx="4">
                  <c:v>1</c:v>
                </c:pt>
                <c:pt idx="5">
                  <c:v>1</c:v>
                </c:pt>
                <c:pt idx="6">
                  <c:v>3</c:v>
                </c:pt>
                <c:pt idx="7">
                  <c:v>2</c:v>
                </c:pt>
                <c:pt idx="8">
                  <c:v>1</c:v>
                </c:pt>
                <c:pt idx="9">
                  <c:v>1</c:v>
                </c:pt>
                <c:pt idx="10">
                  <c:v>1</c:v>
                </c:pt>
                <c:pt idx="11">
                  <c:v>1</c:v>
                </c:pt>
                <c:pt idx="12">
                  <c:v>1</c:v>
                </c:pt>
              </c:numCache>
            </c:numRef>
          </c:val>
          <c:extLst>
            <c:ext xmlns:c16="http://schemas.microsoft.com/office/drawing/2014/chart" uri="{C3380CC4-5D6E-409C-BE32-E72D297353CC}">
              <c16:uniqueId val="{00000000-6228-45A0-B13A-661E8AC2DA80}"/>
            </c:ext>
          </c:extLst>
        </c:ser>
        <c:dLbls>
          <c:showLegendKey val="0"/>
          <c:showVal val="0"/>
          <c:showCatName val="0"/>
          <c:showSerName val="0"/>
          <c:showPercent val="0"/>
          <c:showBubbleSize val="0"/>
        </c:dLbls>
        <c:gapWidth val="150"/>
        <c:axId val="2064777167"/>
        <c:axId val="2064779663"/>
      </c:barChart>
      <c:catAx>
        <c:axId val="20647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9663"/>
        <c:crosses val="autoZero"/>
        <c:auto val="1"/>
        <c:lblAlgn val="ctr"/>
        <c:lblOffset val="100"/>
        <c:noMultiLvlLbl val="0"/>
      </c:catAx>
      <c:valAx>
        <c:axId val="2064779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7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346059</xdr:colOff>
      <xdr:row>2</xdr:row>
      <xdr:rowOff>100573</xdr:rowOff>
    </xdr:from>
    <xdr:to>
      <xdr:col>8</xdr:col>
      <xdr:colOff>2898759</xdr:colOff>
      <xdr:row>24</xdr:row>
      <xdr:rowOff>143436</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393988</xdr:colOff>
      <xdr:row>28</xdr:row>
      <xdr:rowOff>147205</xdr:rowOff>
    </xdr:from>
    <xdr:to>
      <xdr:col>8</xdr:col>
      <xdr:colOff>2931104</xdr:colOff>
      <xdr:row>51</xdr:row>
      <xdr:rowOff>805</xdr:rowOff>
    </xdr:to>
    <xdr:graphicFrame macro="">
      <xdr:nvGraphicFramePr>
        <xdr:cNvPr id="2" name="Gráfico 1">
          <a:extLst>
            <a:ext uri="{FF2B5EF4-FFF2-40B4-BE49-F238E27FC236}">
              <a16:creationId xmlns:a16="http://schemas.microsoft.com/office/drawing/2014/main" id="{7B1DB17A-D5E3-439A-8F5B-66B862DFE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esar Arcos" refreshedDate="45277.711822685182" createdVersion="6" refreshedVersion="6" minRefreshableVersion="3" recordCount="20">
  <cacheSource type="worksheet">
    <worksheetSource ref="A11:BZ31" sheet="Mapa_riesgos"/>
  </cacheSource>
  <cacheFields count="102">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2"/>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8.3999999999999991E-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23T00:00:00" maxDate="2023-12-14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sar Arcos" refreshedDate="45277.711824074075" createdVersion="7" refreshedVersion="6" minRefreshableVersion="3" recordCount="20">
  <cacheSource type="worksheet">
    <worksheetSource ref="A11:CA31"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ount="33">
        <s v="Oficina de Control Disciplinario Interno, Oficina Jurídica y Despacho de la Secretaría General"/>
        <s v="Oficina de Control Interno"/>
        <s v="Dirección Distrital de Archivo de Bogotá"/>
        <s v="Dirección de Contratación"/>
        <s v="Subdirección de Servicios Administrativos"/>
        <s v="Subdirección de Gestión Documental"/>
        <s v="Dirección de Talento Humano"/>
        <s v="Subdirección Financiera"/>
        <s v="Oficina Jurídica "/>
        <s v="Dirección del Sistema Distrital de Servicio a la Ciudadanía"/>
        <s v="Dirección Distrital de Calidad del Servicio "/>
        <s v="Oficina de Alta Consejería Distrital de Tecnologías de Información y Comunicaciones –TIC"/>
        <s v="Oficina Alta Consejería de Paz, Víctimas y Reconciliación"/>
        <s v="Dirección Distrital de Relaciones Internacionales " u="1"/>
        <s v="Oficina Asesora de Planeación" u="1"/>
        <s v="Oficina Asesora de Planeación_x000a_Oficina de Tecnologías de la Información y las Comunicaciones" u="1"/>
        <s v="Oficina Asesora de Planeación " u="1"/>
        <s v="Oficina Consejería de Comunicaciones" u="1"/>
        <s v="Oficina de Control Disciplinario Interno" u="1"/>
        <s v="Oficina de Control Disciplinario Interno / Oficina Jurídica" u="1"/>
        <s v="Oficina Alta Consejería Distrital de Tecnologías de la Información y las Comunicaciones" u="1"/>
        <s v="Subsecretaría de Servicio al Ciudadano" u="1"/>
        <s v="Subdirección de Imprenta Distrital" u="1"/>
        <s v="Dirección Distrital de Desarrollo Institucional" u="1"/>
        <s v="Dirección Administrativa y Financiera" u="1"/>
        <s v="Dirección Distrital de Relaciones Internacionales" u="1"/>
        <s v="Dirección Distrital de Calidad del Servicio" u="1"/>
        <s v="Subsecretaría Distrital de Fortalecimiento Institucional" u="1"/>
        <s v="Dirección de Contratación " u="1"/>
        <s v="Subsecretaría de Servicio a la Ciudadanía" u="1"/>
        <s v="Oficina de Tecnologías de la Información y las Comunicaciones" u="1"/>
        <s v="Oficina Jurídica" u="1"/>
        <s v="Subdirección de Seguimiento a la Gestión de Inspección, Vigilancia y Control - SSGIVC" u="1"/>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2"/>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8.3999999999999991E-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23T00:00:00" maxDate="2023-12-14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 name="Blancos borrar si 54" numFmtId="0">
      <sharedItems containsSemiMixedTypes="0" containsString="0" containsNumber="1" containsInteger="1" minValue="33" maxValue="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s v="Oficina de Control Disciplinario Interno, Oficina Jurídica y Despacho de la Secretaría General"/>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0"/>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Dirección Distrital de Archivo de Bogotá"/>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0"/>
    <s v="Fraude interno"/>
    <s v="Dirección Distrital de Archivo de Bogotá"/>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0"/>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0"/>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4"/>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4"/>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8"/>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0"/>
    <s v="Ejecución y administración de procesos"/>
    <s v="Oficina Jurídica "/>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0"/>
    <s v="Fraude interno"/>
    <s v="Dirección del Sistema Distrital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0"/>
    <s v="Fraude interno"/>
    <s v="Oficina de Alta Consejería Distrital de Tecnologías de Información y Comunicaciones –TIC"/>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20">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x v="0"/>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n v="33"/>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0"/>
    <s v="Ejecución y administración de procesos"/>
    <x v="1"/>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x v="2"/>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0"/>
    <s v="Fraude interno"/>
    <x v="2"/>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0"/>
    <s v="Fraude interno"/>
    <x v="3"/>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0"/>
    <s v="Fraude interno"/>
    <x v="3"/>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x v="4"/>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x v="5"/>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x v="6"/>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x v="6"/>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x v="6"/>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x v="7"/>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x v="7"/>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Jurídica"/>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0"/>
    <s v="Ejecución y administración de procesos"/>
    <x v="8"/>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0"/>
    <s v="Fraude interno"/>
    <x v="9"/>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x v="10"/>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0"/>
    <s v="Fraude interno"/>
    <x v="11"/>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n v="33"/>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x v="12"/>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n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i>
    <i t="grand">
      <x/>
    </i>
  </rowItems>
  <colItems count="1">
    <i/>
  </colItems>
  <formats count="7">
    <format dxfId="130">
      <pivotArea type="all" dataOnly="0" outline="0" fieldPosition="0"/>
    </format>
    <format dxfId="129">
      <pivotArea outline="0" collapsedLevelsAreSubtotals="1" fieldPosition="0"/>
    </format>
    <format dxfId="128">
      <pivotArea field="9" type="button" dataOnly="0" labelOnly="1" outline="0" axis="axisRow" fieldPosition="0"/>
    </format>
    <format dxfId="127">
      <pivotArea dataOnly="0" labelOnly="1" fieldPosition="0">
        <references count="1">
          <reference field="9" count="0"/>
        </references>
      </pivotArea>
    </format>
    <format dxfId="126">
      <pivotArea dataOnly="0" labelOnly="1" fieldPosition="0">
        <references count="1">
          <reference field="9" count="0" defaultSubtotal="1"/>
        </references>
      </pivotArea>
    </format>
    <format dxfId="125">
      <pivotArea dataOnly="0" labelOnly="1" grandRow="1" outline="0" fieldPosition="0"/>
    </format>
    <format dxfId="1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 colHeaderCaption="Enfoque del riesgo">
  <location ref="A30:C45" firstHeaderRow="1" firstDataRow="2" firstDataCol="1"/>
  <pivotFields count="103">
    <pivotField showAll="0"/>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axis="axisRow" showAll="0">
      <items count="34">
        <item x="3"/>
        <item x="6"/>
        <item x="2"/>
        <item m="1" x="23"/>
        <item m="1" x="25"/>
        <item x="12"/>
        <item m="1" x="20"/>
        <item m="1" x="14"/>
        <item m="1" x="17"/>
        <item m="1" x="19"/>
        <item x="1"/>
        <item m="1" x="30"/>
        <item m="1" x="31"/>
        <item x="5"/>
        <item m="1" x="22"/>
        <item x="4"/>
        <item x="7"/>
        <item m="1" x="29"/>
        <item m="1" x="27"/>
        <item x="0"/>
        <item m="1" x="18"/>
        <item m="1" x="13"/>
        <item m="1" x="28"/>
        <item x="8"/>
        <item m="1" x="21"/>
        <item m="1" x="32"/>
        <item x="9"/>
        <item x="10"/>
        <item m="1" x="26"/>
        <item x="11"/>
        <item m="1" x="15"/>
        <item m="1" x="16"/>
        <item m="1" x="24"/>
        <item t="default"/>
      </items>
    </pivotField>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14">
    <i>
      <x/>
    </i>
    <i>
      <x v="1"/>
    </i>
    <i>
      <x v="2"/>
    </i>
    <i>
      <x v="5"/>
    </i>
    <i>
      <x v="10"/>
    </i>
    <i>
      <x v="13"/>
    </i>
    <i>
      <x v="15"/>
    </i>
    <i>
      <x v="16"/>
    </i>
    <i>
      <x v="19"/>
    </i>
    <i>
      <x v="23"/>
    </i>
    <i>
      <x v="26"/>
    </i>
    <i>
      <x v="27"/>
    </i>
    <i>
      <x v="29"/>
    </i>
    <i t="grand">
      <x/>
    </i>
  </rowItems>
  <colFields count="1">
    <field x="9"/>
  </colFields>
  <colItems count="2">
    <i>
      <x/>
    </i>
    <i t="grand">
      <x/>
    </i>
  </colItems>
  <dataFields count="1">
    <dataField name="Número de riesgos" fld="8" subtotal="count" baseField="0" baseItem="0"/>
  </dataFields>
  <formats count="61">
    <format dxfId="66">
      <pivotArea type="all" dataOnly="0" outline="0" fieldPosition="0"/>
    </format>
    <format dxfId="65">
      <pivotArea outline="0" collapsedLevelsAreSubtotals="1" fieldPosition="0"/>
    </format>
    <format dxfId="64">
      <pivotArea dataOnly="0" labelOnly="1" grandRow="1" outline="0" fieldPosition="0"/>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dataOnly="0" labelOnly="1" grandRow="1" outline="0" fieldPosition="0"/>
    </format>
    <format dxfId="59">
      <pivotArea dataOnly="0" labelOnly="1" outline="0" axis="axisValues" fieldPosition="0"/>
    </format>
    <format dxfId="58">
      <pivotArea dataOnly="0" labelOnly="1" outline="0" axis="axisValues" fieldPosition="0"/>
    </format>
    <format dxfId="57">
      <pivotArea outline="0" collapsedLevelsAreSubtotals="1" fieldPosition="0">
        <references count="1">
          <reference field="9" count="1" selected="0">
            <x v="2"/>
          </reference>
        </references>
      </pivotArea>
    </format>
    <format dxfId="56">
      <pivotArea dataOnly="0" labelOnly="1" fieldPosition="0">
        <references count="1">
          <reference field="9" count="1">
            <x v="2"/>
          </reference>
        </references>
      </pivotArea>
    </format>
    <format dxfId="55">
      <pivotArea dataOnly="0" outline="0" fieldPosition="0">
        <references count="1">
          <reference field="9" count="1">
            <x v="1"/>
          </reference>
        </references>
      </pivotArea>
    </format>
    <format dxfId="54">
      <pivotArea type="origin" dataOnly="0" labelOnly="1" outline="0" fieldPosition="0"/>
    </format>
    <format dxfId="53">
      <pivotArea field="9" type="button" dataOnly="0" labelOnly="1" outline="0" axis="axisCol" fieldPosition="0"/>
    </format>
    <format dxfId="52">
      <pivotArea type="topRight" dataOnly="0" labelOnly="1" outline="0" fieldPosition="0"/>
    </format>
    <format dxfId="51">
      <pivotArea dataOnly="0" labelOnly="1" fieldPosition="0">
        <references count="1">
          <reference field="9" count="1">
            <x v="0"/>
          </reference>
        </references>
      </pivotArea>
    </format>
    <format dxfId="50">
      <pivotArea type="origin" dataOnly="0" labelOnly="1" outline="0" fieldPosition="0"/>
    </format>
    <format dxfId="49">
      <pivotArea field="9" type="button" dataOnly="0" labelOnly="1" outline="0" axis="axisCol" fieldPosition="0"/>
    </format>
    <format dxfId="48">
      <pivotArea type="topRight" dataOnly="0" labelOnly="1" outline="0" fieldPosition="0"/>
    </format>
    <format dxfId="47">
      <pivotArea dataOnly="0" labelOnly="1" fieldPosition="0">
        <references count="1">
          <reference field="9" count="0"/>
        </references>
      </pivotArea>
    </format>
    <format dxfId="46">
      <pivotArea dataOnly="0" labelOnly="1" grandCol="1" outline="0" fieldPosition="0"/>
    </format>
    <format dxfId="45">
      <pivotArea type="origin" dataOnly="0" labelOnly="1" outline="0" fieldPosition="0"/>
    </format>
    <format dxfId="44">
      <pivotArea grandRow="1" outline="0" collapsedLevelsAreSubtotals="1" fieldPosition="0"/>
    </format>
    <format dxfId="43">
      <pivotArea dataOnly="0" labelOnly="1" fieldPosition="0">
        <references count="1">
          <reference field="9" count="0"/>
        </references>
      </pivotArea>
    </format>
    <format dxfId="42">
      <pivotArea dataOnly="0" labelOnly="1" grandCol="1" outline="0" fieldPosition="0"/>
    </format>
    <format dxfId="41">
      <pivotArea type="origin" dataOnly="0" labelOnly="1" outline="0" fieldPosition="0"/>
    </format>
    <format dxfId="40">
      <pivotArea field="9" type="button" dataOnly="0" labelOnly="1" outline="0" axis="axisCol" fieldPosition="0"/>
    </format>
    <format dxfId="39">
      <pivotArea type="topRight" dataOnly="0" labelOnly="1" outline="0" fieldPosition="0"/>
    </format>
    <format dxfId="38">
      <pivotArea dataOnly="0" labelOnly="1" fieldPosition="0">
        <references count="1">
          <reference field="9" count="0"/>
        </references>
      </pivotArea>
    </format>
    <format dxfId="37">
      <pivotArea dataOnly="0" labelOnly="1" grandCol="1" outline="0" fieldPosition="0"/>
    </format>
    <format dxfId="36">
      <pivotArea grandRow="1" outline="0" collapsedLevelsAreSubtotals="1" fieldPosition="0"/>
    </format>
    <format dxfId="35">
      <pivotArea dataOnly="0" labelOnly="1" grandRow="1" outline="0" fieldPosition="0"/>
    </format>
    <format dxfId="34">
      <pivotArea type="all" dataOnly="0" outline="0" fieldPosition="0"/>
    </format>
    <format dxfId="33">
      <pivotArea outline="0" collapsedLevelsAreSubtotals="1" fieldPosition="0"/>
    </format>
    <format dxfId="32">
      <pivotArea type="origin" dataOnly="0" labelOnly="1" outline="0" fieldPosition="0"/>
    </format>
    <format dxfId="31">
      <pivotArea field="9" type="button" dataOnly="0" labelOnly="1" outline="0" axis="axisCol" fieldPosition="0"/>
    </format>
    <format dxfId="30">
      <pivotArea type="topRight" dataOnly="0" labelOnly="1" outline="0" fieldPosition="0"/>
    </format>
    <format dxfId="29">
      <pivotArea field="11" type="button" dataOnly="0" labelOnly="1" outline="0" axis="axisRow" fieldPosition="0"/>
    </format>
    <format dxfId="28">
      <pivotArea dataOnly="0" labelOnly="1" fieldPosition="0">
        <references count="1">
          <reference field="11" count="0"/>
        </references>
      </pivotArea>
    </format>
    <format dxfId="27">
      <pivotArea dataOnly="0" labelOnly="1" grandRow="1" outline="0" fieldPosition="0"/>
    </format>
    <format dxfId="26">
      <pivotArea dataOnly="0" labelOnly="1" fieldPosition="0">
        <references count="1">
          <reference field="9" count="0"/>
        </references>
      </pivotArea>
    </format>
    <format dxfId="25">
      <pivotArea dataOnly="0" labelOnly="1" grandCol="1" outline="0" fieldPosition="0"/>
    </format>
    <format dxfId="24">
      <pivotArea collapsedLevelsAreSubtotals="1" fieldPosition="0">
        <references count="1">
          <reference field="11" count="17">
            <x v="1"/>
            <x v="2"/>
            <x v="3"/>
            <x v="4"/>
            <x v="5"/>
            <x v="6"/>
            <x v="7"/>
            <x v="8"/>
            <x v="9"/>
            <x v="10"/>
            <x v="11"/>
            <x v="12"/>
            <x v="13"/>
            <x v="14"/>
            <x v="15"/>
            <x v="16"/>
            <x v="17"/>
          </reference>
        </references>
      </pivotArea>
    </format>
    <format dxfId="23">
      <pivotArea dataOnly="0" labelOnly="1" fieldPosition="0">
        <references count="1">
          <reference field="11" count="17">
            <x v="1"/>
            <x v="2"/>
            <x v="3"/>
            <x v="4"/>
            <x v="5"/>
            <x v="6"/>
            <x v="7"/>
            <x v="8"/>
            <x v="9"/>
            <x v="10"/>
            <x v="11"/>
            <x v="12"/>
            <x v="13"/>
            <x v="14"/>
            <x v="15"/>
            <x v="16"/>
            <x v="17"/>
          </reference>
        </references>
      </pivotArea>
    </format>
    <format dxfId="22">
      <pivotArea grandRow="1" outline="0" collapsedLevelsAreSubtotals="1" fieldPosition="0"/>
    </format>
    <format dxfId="21">
      <pivotArea dataOnly="0" labelOnly="1" grandRow="1" outline="0" fieldPosition="0"/>
    </format>
    <format dxfId="20">
      <pivotArea field="11" type="button" dataOnly="0" labelOnly="1" outline="0" axis="axisRow" fieldPosition="0"/>
    </format>
    <format dxfId="19">
      <pivotArea dataOnly="0" labelOnly="1" fieldPosition="0">
        <references count="1">
          <reference field="9" count="0"/>
        </references>
      </pivotArea>
    </format>
    <format dxfId="18">
      <pivotArea dataOnly="0" labelOnly="1" grandCol="1" outline="0" fieldPosition="0"/>
    </format>
    <format dxfId="17">
      <pivotArea field="9" type="button" dataOnly="0" labelOnly="1" outline="0" axis="axisCol" fieldPosition="0"/>
    </format>
    <format dxfId="16">
      <pivotArea collapsedLevelsAreSubtotals="1" fieldPosition="0">
        <references count="1">
          <reference field="11" count="0"/>
        </references>
      </pivotArea>
    </format>
    <format dxfId="15">
      <pivotArea field="11" type="button" dataOnly="0" labelOnly="1" outline="0" axis="axisRow" fieldPosition="0"/>
    </format>
    <format dxfId="14">
      <pivotArea field="11" type="button" dataOnly="0" labelOnly="1" outline="0" axis="axisRow" fieldPosition="0"/>
    </format>
    <format dxfId="13">
      <pivotArea collapsedLevelsAreSubtotals="1" fieldPosition="0">
        <references count="1">
          <reference field="11" count="0"/>
        </references>
      </pivotArea>
    </format>
    <format dxfId="12">
      <pivotArea dataOnly="0" labelOnly="1" fieldPosition="0">
        <references count="1">
          <reference field="11" count="0"/>
        </references>
      </pivotArea>
    </format>
    <format dxfId="11">
      <pivotArea collapsedLevelsAreSubtotals="1" fieldPosition="0">
        <references count="1">
          <reference field="11" count="15">
            <x v="16"/>
            <x v="18"/>
            <x v="19"/>
            <x v="20"/>
            <x v="21"/>
            <x v="22"/>
            <x v="23"/>
            <x v="24"/>
            <x v="25"/>
            <x v="26"/>
            <x v="27"/>
            <x v="28"/>
            <x v="29"/>
            <x v="30"/>
            <x v="31"/>
          </reference>
        </references>
      </pivotArea>
    </format>
    <format dxfId="10">
      <pivotArea dataOnly="0" labelOnly="1" fieldPosition="0">
        <references count="1">
          <reference field="11" count="15">
            <x v="16"/>
            <x v="18"/>
            <x v="19"/>
            <x v="20"/>
            <x v="21"/>
            <x v="22"/>
            <x v="23"/>
            <x v="24"/>
            <x v="25"/>
            <x v="26"/>
            <x v="27"/>
            <x v="28"/>
            <x v="29"/>
            <x v="30"/>
            <x v="31"/>
          </reference>
        </references>
      </pivotArea>
    </format>
    <format dxfId="9">
      <pivotArea collapsedLevelsAreSubtotals="1" fieldPosition="0">
        <references count="1">
          <reference field="11" count="14">
            <x v="18"/>
            <x v="19"/>
            <x v="20"/>
            <x v="21"/>
            <x v="22"/>
            <x v="23"/>
            <x v="24"/>
            <x v="25"/>
            <x v="26"/>
            <x v="27"/>
            <x v="28"/>
            <x v="29"/>
            <x v="30"/>
            <x v="31"/>
          </reference>
        </references>
      </pivotArea>
    </format>
    <format dxfId="8">
      <pivotArea dataOnly="0" labelOnly="1" fieldPosition="0">
        <references count="1">
          <reference field="11" count="14">
            <x v="18"/>
            <x v="19"/>
            <x v="20"/>
            <x v="21"/>
            <x v="22"/>
            <x v="23"/>
            <x v="24"/>
            <x v="25"/>
            <x v="26"/>
            <x v="27"/>
            <x v="28"/>
            <x v="29"/>
            <x v="30"/>
            <x v="31"/>
          </reference>
        </references>
      </pivotArea>
    </format>
    <format dxfId="7">
      <pivotArea grandCol="1" outline="0" collapsedLevelsAreSubtotals="1" fieldPosition="0"/>
    </format>
    <format dxfId="6">
      <pivotArea dataOnly="0" labelOnly="1" grandCol="1" outline="0" fieldPosition="0"/>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9" count="1" selected="0">
            <x v="0"/>
          </reference>
        </references>
      </pivotArea>
    </chartFormat>
    <chartFormat chart="3" format="1" series="1">
      <pivotArea type="data" outline="0" fieldPosition="0">
        <references count="2">
          <reference field="4294967294" count="1" selected="0">
            <x v="0"/>
          </reference>
          <reference field="9" count="1" selected="0">
            <x v="1"/>
          </reference>
        </references>
      </pivotArea>
    </chartFormat>
    <chartFormat chart="3" format="2" series="1">
      <pivotArea type="data" outline="0" fieldPosition="0">
        <references count="2">
          <reference field="4294967294" count="1" selected="0">
            <x v="0"/>
          </reference>
          <reference field="9" count="1" selected="0">
            <x v="2"/>
          </reference>
        </references>
      </pivotArea>
    </chartFormat>
    <chartFormat chart="3" format="3">
      <pivotArea type="data" outline="0" fieldPosition="0">
        <references count="3">
          <reference field="4294967294" count="1" selected="0">
            <x v="0"/>
          </reference>
          <reference field="9" count="1" selected="0">
            <x v="2"/>
          </reference>
          <reference field="11"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rowHeaderCaption="Procesos / Proyectos de inversión" colHeaderCaption="Enfoque del riesgo">
  <location ref="A4:C17" firstHeaderRow="1" firstDataRow="2" firstDataCol="1"/>
  <pivotFields count="102">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Fields count="1">
    <field x="9"/>
  </colFields>
  <colItems count="2">
    <i>
      <x/>
    </i>
    <i t="grand">
      <x/>
    </i>
  </colItems>
  <dataFields count="1">
    <dataField name="Número de riesgos" fld="8" subtotal="count" baseField="0" baseItem="0"/>
  </dataFields>
  <formats count="45">
    <format dxfId="111">
      <pivotArea type="all" dataOnly="0" outline="0" fieldPosition="0"/>
    </format>
    <format dxfId="110">
      <pivotArea outline="0" collapsedLevelsAreSubtotals="1" fieldPosition="0"/>
    </format>
    <format dxfId="109">
      <pivotArea dataOnly="0" labelOnly="1" grandRow="1" outline="0" fieldPosition="0"/>
    </format>
    <format dxfId="108">
      <pivotArea dataOnly="0" labelOnly="1" outline="0" axis="axisValues" fieldPosition="0"/>
    </format>
    <format dxfId="107">
      <pivotArea type="all" dataOnly="0" outline="0" fieldPosition="0"/>
    </format>
    <format dxfId="106">
      <pivotArea outline="0" collapsedLevelsAreSubtotals="1" fieldPosition="0"/>
    </format>
    <format dxfId="105">
      <pivotArea dataOnly="0" labelOnly="1" grandRow="1" outline="0" fieldPosition="0"/>
    </format>
    <format dxfId="104">
      <pivotArea dataOnly="0" labelOnly="1" outline="0" axis="axisValues" fieldPosition="0"/>
    </format>
    <format dxfId="103">
      <pivotArea collapsedLevelsAreSubtotals="1" fieldPosition="0">
        <references count="1">
          <reference field="0" count="21">
            <x v="1"/>
            <x v="2"/>
            <x v="3"/>
            <x v="4"/>
            <x v="5"/>
            <x v="6"/>
            <x v="7"/>
            <x v="8"/>
            <x v="9"/>
            <x v="10"/>
            <x v="11"/>
            <x v="12"/>
            <x v="13"/>
            <x v="14"/>
            <x v="15"/>
            <x v="16"/>
            <x v="17"/>
            <x v="18"/>
            <x v="19"/>
            <x v="20"/>
            <x v="21"/>
          </reference>
        </references>
      </pivotArea>
    </format>
    <format dxfId="102">
      <pivotArea outline="0" collapsedLevelsAreSubtotals="1" fieldPosition="0"/>
    </format>
    <format dxfId="101">
      <pivotArea dataOnly="0" labelOnly="1" outline="0" axis="axisValues" fieldPosition="0"/>
    </format>
    <format dxfId="100">
      <pivotArea field="0" type="button" dataOnly="0" labelOnly="1" outline="0" axis="axisRow" fieldPosition="0"/>
    </format>
    <format dxfId="99">
      <pivotArea dataOnly="0" labelOnly="1" outline="0" axis="axisValues" fieldPosition="0"/>
    </format>
    <format dxfId="98">
      <pivotArea dataOnly="0" labelOnly="1" outline="0" axis="axisValues" fieldPosition="0"/>
    </format>
    <format dxfId="97">
      <pivotArea field="0" type="button" dataOnly="0" labelOnly="1" outline="0" axis="axisRow" fieldPosition="0"/>
    </format>
    <format dxfId="96">
      <pivotArea outline="0" collapsedLevelsAreSubtotals="1" fieldPosition="0"/>
    </format>
    <format dxfId="95">
      <pivotArea type="all" dataOnly="0" outline="0" fieldPosition="0"/>
    </format>
    <format dxfId="94">
      <pivotArea outline="0" collapsedLevelsAreSubtotals="1" fieldPosition="0"/>
    </format>
    <format dxfId="93">
      <pivotArea field="0" type="button" dataOnly="0" labelOnly="1" outline="0" axis="axisRow" fieldPosition="0"/>
    </format>
    <format dxfId="92">
      <pivotArea dataOnly="0" labelOnly="1" fieldPosition="0">
        <references count="1">
          <reference field="0" count="0"/>
        </references>
      </pivotArea>
    </format>
    <format dxfId="91">
      <pivotArea dataOnly="0" labelOnly="1" grandRow="1" outline="0" fieldPosition="0"/>
    </format>
    <format dxfId="90">
      <pivotArea dataOnly="0" labelOnly="1" outline="0" axis="axisValues" fieldPosition="0"/>
    </format>
    <format dxfId="89">
      <pivotArea collapsedLevelsAreSubtotals="1" fieldPosition="0">
        <references count="1">
          <reference field="0" count="0"/>
        </references>
      </pivotArea>
    </format>
    <format dxfId="88">
      <pivotArea dataOnly="0" labelOnly="1" fieldPosition="0">
        <references count="1">
          <reference field="0" count="0"/>
        </references>
      </pivotArea>
    </format>
    <format dxfId="87">
      <pivotArea collapsedLevelsAreSubtotals="1" fieldPosition="0">
        <references count="1">
          <reference field="0" count="15">
            <x v="6"/>
            <x v="7"/>
            <x v="10"/>
            <x v="13"/>
            <x v="19"/>
            <x v="20"/>
            <x v="23"/>
            <x v="24"/>
            <x v="25"/>
            <x v="26"/>
            <x v="27"/>
            <x v="28"/>
            <x v="29"/>
            <x v="30"/>
            <x v="31"/>
          </reference>
        </references>
      </pivotArea>
    </format>
    <format dxfId="86">
      <pivotArea dataOnly="0" labelOnly="1" fieldPosition="0">
        <references count="1">
          <reference field="0" count="15">
            <x v="6"/>
            <x v="7"/>
            <x v="10"/>
            <x v="13"/>
            <x v="19"/>
            <x v="20"/>
            <x v="23"/>
            <x v="24"/>
            <x v="25"/>
            <x v="26"/>
            <x v="27"/>
            <x v="28"/>
            <x v="29"/>
            <x v="30"/>
            <x v="31"/>
          </reference>
        </references>
      </pivotArea>
    </format>
    <format dxfId="85">
      <pivotArea dataOnly="0" outline="0" fieldPosition="0">
        <references count="1">
          <reference field="9" count="2">
            <x v="1"/>
            <x v="2"/>
          </reference>
        </references>
      </pivotArea>
    </format>
    <format dxfId="84">
      <pivotArea field="0" type="button" dataOnly="0" labelOnly="1" outline="0" axis="axisRow" fieldPosition="0"/>
    </format>
    <format dxfId="83">
      <pivotArea dataOnly="0" labelOnly="1" fieldPosition="0">
        <references count="1">
          <reference field="9" count="0"/>
        </references>
      </pivotArea>
    </format>
    <format dxfId="82">
      <pivotArea dataOnly="0" labelOnly="1" grandCol="1" outline="0" fieldPosition="0"/>
    </format>
    <format dxfId="81">
      <pivotArea type="origin" dataOnly="0" labelOnly="1" outline="0" fieldPosition="0"/>
    </format>
    <format dxfId="80">
      <pivotArea field="9" type="button" dataOnly="0" labelOnly="1" outline="0" axis="axisCol" fieldPosition="0"/>
    </format>
    <format dxfId="79">
      <pivotArea type="topRight" dataOnly="0" labelOnly="1" outline="0" fieldPosition="0"/>
    </format>
    <format dxfId="78">
      <pivotArea field="0" type="button" dataOnly="0" labelOnly="1" outline="0" axis="axisRow" fieldPosition="0"/>
    </format>
    <format dxfId="77">
      <pivotArea dataOnly="0" labelOnly="1" fieldPosition="0">
        <references count="1">
          <reference field="9" count="0"/>
        </references>
      </pivotArea>
    </format>
    <format dxfId="76">
      <pivotArea dataOnly="0" labelOnly="1" grandCol="1" outline="0" fieldPosition="0"/>
    </format>
    <format dxfId="75">
      <pivotArea field="0" type="button" dataOnly="0" labelOnly="1" outline="0" axis="axisRow" fieldPosition="0"/>
    </format>
    <format dxfId="74">
      <pivotArea dataOnly="0" labelOnly="1" fieldPosition="0">
        <references count="1">
          <reference field="9" count="0"/>
        </references>
      </pivotArea>
    </format>
    <format dxfId="73">
      <pivotArea dataOnly="0" labelOnly="1" grandCol="1" outline="0" fieldPosition="0"/>
    </format>
    <format dxfId="72">
      <pivotArea type="origin" dataOnly="0" labelOnly="1" outline="0" fieldPosition="0"/>
    </format>
    <format dxfId="71">
      <pivotArea grandRow="1" outline="0" collapsedLevelsAreSubtotals="1" fieldPosition="0"/>
    </format>
    <format dxfId="70">
      <pivotArea field="0" type="button" dataOnly="0" labelOnly="1" outline="0" axis="axisRow" fieldPosition="0"/>
    </format>
    <format dxfId="69">
      <pivotArea dataOnly="0" labelOnly="1" fieldPosition="0">
        <references count="1">
          <reference field="9" count="0"/>
        </references>
      </pivotArea>
    </format>
    <format dxfId="68">
      <pivotArea dataOnly="0" labelOnly="1" grandCol="1" outline="0" fieldPosition="0"/>
    </format>
    <format dxfId="67">
      <pivotArea dataOnly="0" grandCol="1" outline="0" fieldPosition="0"/>
    </format>
  </formats>
  <chartFormats count="7">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 chart="0" format="5" series="1">
      <pivotArea type="data" outline="0" fieldPosition="0">
        <references count="2">
          <reference field="4294967294" count="1" selected="0">
            <x v="0"/>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1"/>
          </reference>
        </references>
      </pivotArea>
    </chartFormat>
    <chartFormat chart="0" format="7">
      <pivotArea type="data" outline="0" fieldPosition="0">
        <references count="3">
          <reference field="4294967294" count="1" selected="0">
            <x v="0"/>
          </reference>
          <reference field="0" count="1" selected="0">
            <x v="31"/>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25"/>
  <sheetViews>
    <sheetView topLeftCell="V18" workbookViewId="0">
      <selection activeCell="AJ24" sqref="AJ24"/>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33" t="s">
        <v>262</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314</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317</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313</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318</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312</v>
      </c>
      <c r="U4" s="26" t="s">
        <v>101</v>
      </c>
      <c r="W4" s="35" t="s">
        <v>102</v>
      </c>
      <c r="Z4" s="18" t="s">
        <v>103</v>
      </c>
      <c r="AA4" s="28" t="s">
        <v>104</v>
      </c>
      <c r="AB4" s="18" t="s">
        <v>105</v>
      </c>
      <c r="AC4" s="18" t="s">
        <v>106</v>
      </c>
      <c r="AD4" s="36" t="s">
        <v>107</v>
      </c>
      <c r="AF4" s="22" t="s">
        <v>85</v>
      </c>
      <c r="AG4" s="17" t="s">
        <v>108</v>
      </c>
      <c r="AH4" s="47" t="e">
        <f>IF(#REF!="","",#REF!)</f>
        <v>#REF!</v>
      </c>
      <c r="AI4" s="56">
        <v>43830</v>
      </c>
      <c r="AJ4" s="47" t="s">
        <v>319</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309</v>
      </c>
      <c r="U5" s="26" t="s">
        <v>121</v>
      </c>
      <c r="W5" s="38" t="s">
        <v>122</v>
      </c>
      <c r="AB5" s="18" t="s">
        <v>123</v>
      </c>
      <c r="AC5" s="18" t="s">
        <v>124</v>
      </c>
      <c r="AG5" s="17" t="s">
        <v>125</v>
      </c>
      <c r="AH5" s="47" t="e">
        <f>IF(#REF!="","",#REF!)</f>
        <v>#REF!</v>
      </c>
      <c r="AI5" s="57"/>
      <c r="AJ5" s="47" t="s">
        <v>256</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311</v>
      </c>
      <c r="U6" s="26" t="s">
        <v>310</v>
      </c>
      <c r="AG6" s="17" t="s">
        <v>385</v>
      </c>
      <c r="AH6" s="47" t="e">
        <f>IF(#REF!="","",#REF!)</f>
        <v>#REF!</v>
      </c>
      <c r="AI6" s="58"/>
      <c r="AJ6" s="47" t="s">
        <v>386</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244</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250</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320</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321</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249</v>
      </c>
    </row>
    <row r="12" spans="1:36" ht="90" x14ac:dyDescent="0.25">
      <c r="B12" s="37"/>
      <c r="C12" s="17" t="s">
        <v>179</v>
      </c>
      <c r="D12" s="18" t="s">
        <v>180</v>
      </c>
      <c r="E12" s="18" t="s">
        <v>111</v>
      </c>
      <c r="L12" s="18" t="s">
        <v>181</v>
      </c>
      <c r="AG12" s="17" t="s">
        <v>168</v>
      </c>
      <c r="AH12" s="47" t="e">
        <f>IF(#REF!="","",#REF!)</f>
        <v>#REF!</v>
      </c>
      <c r="AJ12" s="47" t="s">
        <v>320</v>
      </c>
    </row>
    <row r="13" spans="1:36" ht="90" x14ac:dyDescent="0.25">
      <c r="B13" s="37"/>
      <c r="C13" s="17" t="s">
        <v>182</v>
      </c>
      <c r="D13" s="18" t="s">
        <v>183</v>
      </c>
      <c r="E13" s="18" t="s">
        <v>38</v>
      </c>
      <c r="L13" s="18" t="s">
        <v>184</v>
      </c>
      <c r="AG13" s="17" t="s">
        <v>185</v>
      </c>
      <c r="AH13" s="47" t="e">
        <f>IF(#REF!="","",#REF!)</f>
        <v>#REF!</v>
      </c>
      <c r="AJ13" s="47" t="s">
        <v>251</v>
      </c>
    </row>
    <row r="14" spans="1:36" ht="75" x14ac:dyDescent="0.25">
      <c r="B14" s="37"/>
      <c r="C14" s="17" t="s">
        <v>186</v>
      </c>
      <c r="D14" s="18" t="s">
        <v>187</v>
      </c>
      <c r="E14" s="18" t="s">
        <v>38</v>
      </c>
      <c r="L14" s="18" t="s">
        <v>188</v>
      </c>
      <c r="AG14" s="17" t="s">
        <v>189</v>
      </c>
      <c r="AH14" s="47" t="e">
        <f>IF(#REF!="","",#REF!)</f>
        <v>#REF!</v>
      </c>
      <c r="AJ14" s="1" t="s">
        <v>322</v>
      </c>
    </row>
    <row r="15" spans="1:36" ht="60" x14ac:dyDescent="0.25">
      <c r="B15" s="37"/>
      <c r="C15" s="17" t="s">
        <v>190</v>
      </c>
      <c r="D15" s="18" t="s">
        <v>191</v>
      </c>
      <c r="E15" s="18" t="s">
        <v>111</v>
      </c>
      <c r="L15" s="18" t="s">
        <v>192</v>
      </c>
      <c r="AG15" s="17" t="s">
        <v>193</v>
      </c>
      <c r="AH15" s="47" t="e">
        <f>IF(#REF!="","",#REF!)</f>
        <v>#REF!</v>
      </c>
      <c r="AJ15" s="47" t="s">
        <v>258</v>
      </c>
    </row>
    <row r="16" spans="1:36" ht="90" x14ac:dyDescent="0.25">
      <c r="B16" s="37"/>
      <c r="C16" s="17" t="s">
        <v>194</v>
      </c>
      <c r="D16" s="18" t="s">
        <v>195</v>
      </c>
      <c r="E16" s="18" t="s">
        <v>111</v>
      </c>
      <c r="L16" s="18" t="s">
        <v>196</v>
      </c>
      <c r="AG16" s="17" t="s">
        <v>197</v>
      </c>
      <c r="AH16" s="47" t="e">
        <f>IF(#REF!="","",#REF!)</f>
        <v>#REF!</v>
      </c>
      <c r="AJ16" s="47" t="s">
        <v>246</v>
      </c>
    </row>
    <row r="17" spans="2:36" ht="75" x14ac:dyDescent="0.25">
      <c r="B17" s="37"/>
      <c r="C17" s="17" t="s">
        <v>198</v>
      </c>
      <c r="D17" s="18" t="s">
        <v>199</v>
      </c>
      <c r="E17" s="18" t="s">
        <v>111</v>
      </c>
      <c r="L17" s="18" t="s">
        <v>200</v>
      </c>
      <c r="AG17" s="17" t="s">
        <v>201</v>
      </c>
      <c r="AJ17" s="47" t="s">
        <v>258</v>
      </c>
    </row>
    <row r="18" spans="2:36" ht="75" x14ac:dyDescent="0.25">
      <c r="B18" s="37"/>
      <c r="C18" s="17" t="s">
        <v>202</v>
      </c>
      <c r="D18" s="18" t="s">
        <v>203</v>
      </c>
      <c r="E18" s="18" t="s">
        <v>38</v>
      </c>
      <c r="L18" s="40" t="s">
        <v>204</v>
      </c>
      <c r="AG18" s="17" t="s">
        <v>205</v>
      </c>
      <c r="AJ18" s="47" t="s">
        <v>248</v>
      </c>
    </row>
    <row r="19" spans="2:36" ht="75" x14ac:dyDescent="0.25">
      <c r="B19" s="37"/>
      <c r="C19" s="17" t="s">
        <v>206</v>
      </c>
      <c r="D19" s="18" t="s">
        <v>207</v>
      </c>
      <c r="E19" s="18" t="s">
        <v>111</v>
      </c>
      <c r="L19" s="40" t="s">
        <v>208</v>
      </c>
      <c r="AG19" s="17" t="s">
        <v>193</v>
      </c>
      <c r="AJ19" s="47" t="s">
        <v>258</v>
      </c>
    </row>
    <row r="20" spans="2:36" ht="150" x14ac:dyDescent="0.25">
      <c r="B20" s="37"/>
      <c r="C20" s="17" t="s">
        <v>209</v>
      </c>
      <c r="D20" s="18" t="s">
        <v>210</v>
      </c>
      <c r="E20" s="18" t="s">
        <v>90</v>
      </c>
      <c r="AG20" s="17" t="s">
        <v>211</v>
      </c>
      <c r="AJ20" s="47" t="s">
        <v>246</v>
      </c>
    </row>
    <row r="21" spans="2:36" ht="45" x14ac:dyDescent="0.25">
      <c r="B21" s="37"/>
      <c r="C21" s="17" t="s">
        <v>212</v>
      </c>
      <c r="D21" s="18" t="s">
        <v>213</v>
      </c>
      <c r="E21" s="18" t="s">
        <v>111</v>
      </c>
      <c r="AG21" s="17" t="s">
        <v>214</v>
      </c>
      <c r="AJ21" s="47" t="s">
        <v>257</v>
      </c>
    </row>
    <row r="22" spans="2:36" ht="60" x14ac:dyDescent="0.25">
      <c r="B22" s="37"/>
      <c r="C22" s="17" t="s">
        <v>215</v>
      </c>
      <c r="D22" s="18" t="s">
        <v>216</v>
      </c>
      <c r="E22" s="18" t="s">
        <v>111</v>
      </c>
      <c r="AG22" s="17" t="s">
        <v>383</v>
      </c>
      <c r="AJ22" s="47" t="s">
        <v>384</v>
      </c>
    </row>
    <row r="23" spans="2:36" ht="51" x14ac:dyDescent="0.25">
      <c r="B23" s="37"/>
      <c r="C23" s="17" t="s">
        <v>217</v>
      </c>
      <c r="D23" s="18" t="s">
        <v>218</v>
      </c>
      <c r="E23" s="18" t="s">
        <v>38</v>
      </c>
      <c r="AG23" s="17" t="s">
        <v>219</v>
      </c>
      <c r="AJ23" s="47" t="s">
        <v>252</v>
      </c>
    </row>
    <row r="24" spans="2:36" ht="60" x14ac:dyDescent="0.25">
      <c r="C24" s="17" t="s">
        <v>279</v>
      </c>
      <c r="AJ24" s="47" t="s">
        <v>281</v>
      </c>
    </row>
    <row r="25" spans="2:36" ht="30" x14ac:dyDescent="0.25">
      <c r="C25" s="17" t="s">
        <v>280</v>
      </c>
      <c r="AJ25" s="47" t="s">
        <v>244</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65" t="s">
        <v>262</v>
      </c>
    </row>
    <row r="2" spans="1:2" x14ac:dyDescent="0.25">
      <c r="A2" s="17" t="s">
        <v>140</v>
      </c>
      <c r="B2" t="s">
        <v>244</v>
      </c>
    </row>
    <row r="3" spans="1:2" x14ac:dyDescent="0.25">
      <c r="A3" s="17" t="s">
        <v>88</v>
      </c>
      <c r="B3" t="s">
        <v>245</v>
      </c>
    </row>
    <row r="4" spans="1:2" x14ac:dyDescent="0.25">
      <c r="A4" s="17" t="s">
        <v>209</v>
      </c>
      <c r="B4" t="s">
        <v>246</v>
      </c>
    </row>
    <row r="5" spans="1:2" x14ac:dyDescent="0.25">
      <c r="A5" s="17" t="s">
        <v>194</v>
      </c>
      <c r="B5" t="s">
        <v>246</v>
      </c>
    </row>
    <row r="6" spans="1:2" x14ac:dyDescent="0.25">
      <c r="A6" s="17" t="s">
        <v>162</v>
      </c>
      <c r="B6" t="s">
        <v>247</v>
      </c>
    </row>
    <row r="7" spans="1:2" ht="25.5" x14ac:dyDescent="0.25">
      <c r="A7" s="17" t="s">
        <v>179</v>
      </c>
      <c r="B7" t="s">
        <v>247</v>
      </c>
    </row>
    <row r="8" spans="1:2" x14ac:dyDescent="0.25">
      <c r="A8" s="17" t="s">
        <v>202</v>
      </c>
      <c r="B8" t="s">
        <v>248</v>
      </c>
    </row>
    <row r="9" spans="1:2" x14ac:dyDescent="0.25">
      <c r="A9" s="17" t="s">
        <v>175</v>
      </c>
      <c r="B9" t="s">
        <v>249</v>
      </c>
    </row>
    <row r="10" spans="1:2" x14ac:dyDescent="0.25">
      <c r="A10" s="17" t="s">
        <v>152</v>
      </c>
      <c r="B10" t="s">
        <v>250</v>
      </c>
    </row>
    <row r="11" spans="1:2" ht="25.5" x14ac:dyDescent="0.25">
      <c r="A11" s="17" t="s">
        <v>182</v>
      </c>
      <c r="B11" t="s">
        <v>251</v>
      </c>
    </row>
    <row r="12" spans="1:2" x14ac:dyDescent="0.25">
      <c r="A12" s="17" t="s">
        <v>217</v>
      </c>
      <c r="B12" t="s">
        <v>252</v>
      </c>
    </row>
    <row r="13" spans="1:2" x14ac:dyDescent="0.25">
      <c r="A13" s="17" t="s">
        <v>36</v>
      </c>
      <c r="B13" t="s">
        <v>253</v>
      </c>
    </row>
    <row r="14" spans="1:2" ht="38.25" x14ac:dyDescent="0.25">
      <c r="A14" s="17" t="s">
        <v>64</v>
      </c>
      <c r="B14" t="s">
        <v>254</v>
      </c>
    </row>
    <row r="15" spans="1:2" x14ac:dyDescent="0.25">
      <c r="A15" s="17" t="s">
        <v>186</v>
      </c>
      <c r="B15" t="s">
        <v>255</v>
      </c>
    </row>
    <row r="16" spans="1:2" x14ac:dyDescent="0.25">
      <c r="A16" s="17" t="s">
        <v>109</v>
      </c>
      <c r="B16" t="s">
        <v>256</v>
      </c>
    </row>
    <row r="17" spans="1:2" x14ac:dyDescent="0.25">
      <c r="A17" s="17" t="s">
        <v>212</v>
      </c>
      <c r="B17" t="s">
        <v>257</v>
      </c>
    </row>
    <row r="18" spans="1:2" x14ac:dyDescent="0.25">
      <c r="A18" s="17" t="s">
        <v>190</v>
      </c>
      <c r="B18" t="s">
        <v>258</v>
      </c>
    </row>
    <row r="19" spans="1:2" x14ac:dyDescent="0.25">
      <c r="A19" s="17" t="s">
        <v>206</v>
      </c>
      <c r="B19" t="s">
        <v>258</v>
      </c>
    </row>
    <row r="20" spans="1:2" x14ac:dyDescent="0.25">
      <c r="A20" s="17" t="s">
        <v>198</v>
      </c>
      <c r="B20" t="s">
        <v>258</v>
      </c>
    </row>
    <row r="21" spans="1:2" x14ac:dyDescent="0.25">
      <c r="A21" s="17" t="s">
        <v>215</v>
      </c>
      <c r="B21" t="s">
        <v>259</v>
      </c>
    </row>
    <row r="22" spans="1:2" x14ac:dyDescent="0.25">
      <c r="A22" s="17" t="s">
        <v>169</v>
      </c>
      <c r="B22" t="s">
        <v>260</v>
      </c>
    </row>
    <row r="23" spans="1:2" x14ac:dyDescent="0.25">
      <c r="A23" s="17" t="s">
        <v>126</v>
      </c>
      <c r="B23" t="s">
        <v>261</v>
      </c>
    </row>
    <row r="24" spans="1:2" x14ac:dyDescent="0.25">
      <c r="A24" s="17" t="s">
        <v>279</v>
      </c>
      <c r="B24" t="s">
        <v>281</v>
      </c>
    </row>
    <row r="25" spans="1:2" ht="25.5" x14ac:dyDescent="0.25">
      <c r="A25" s="17" t="s">
        <v>280</v>
      </c>
      <c r="B25" t="s">
        <v>244</v>
      </c>
    </row>
  </sheetData>
  <autoFilter ref="B1:G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68" customWidth="1"/>
    <col min="2" max="2" width="56.5703125" style="68" bestFit="1" customWidth="1"/>
    <col min="3" max="3" width="16.7109375" style="68" bestFit="1" customWidth="1"/>
    <col min="4" max="4" width="23.140625" style="68" bestFit="1" customWidth="1"/>
    <col min="5" max="16384" width="11.42578125" style="68"/>
  </cols>
  <sheetData>
    <row r="3" spans="1:3" x14ac:dyDescent="0.25">
      <c r="A3" s="93" t="s">
        <v>242</v>
      </c>
      <c r="B3"/>
      <c r="C3"/>
    </row>
    <row r="4" spans="1:3" x14ac:dyDescent="0.25">
      <c r="A4" s="68" t="s">
        <v>63</v>
      </c>
      <c r="B4"/>
      <c r="C4"/>
    </row>
    <row r="5" spans="1:3" x14ac:dyDescent="0.25">
      <c r="A5" s="68" t="s">
        <v>243</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249977111117893"/>
  </sheetPr>
  <dimension ref="A1:EU36"/>
  <sheetViews>
    <sheetView showGridLines="0" tabSelected="1" view="pageBreakPreview" zoomScale="85" zoomScaleNormal="60" zoomScaleSheetLayoutView="85" workbookViewId="0">
      <selection sqref="A1:AE1"/>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46.5703125" style="2" customWidth="1"/>
    <col min="36" max="36" width="30.7109375" style="2" customWidth="1"/>
    <col min="37" max="39" width="20.42578125" style="2" customWidth="1"/>
    <col min="40" max="42" width="70.7109375" style="2" customWidth="1"/>
    <col min="43" max="43" width="14.7109375" style="2" customWidth="1"/>
    <col min="44" max="44" width="23.42578125" style="2" customWidth="1"/>
    <col min="45" max="45" width="31.42578125" style="2" customWidth="1"/>
    <col min="46" max="46" width="14.710937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1.42578125" style="2" hidden="1" customWidth="1"/>
    <col min="80" max="81" width="22" style="2" hidden="1" customWidth="1"/>
    <col min="82" max="82" width="11.42578125" style="2" hidden="1" customWidth="1"/>
    <col min="83" max="83" width="16.28515625" style="2" hidden="1" customWidth="1"/>
    <col min="84" max="85" width="11.42578125" style="2" hidden="1" customWidth="1"/>
    <col min="86" max="86" width="16.28515625" style="2" hidden="1" customWidth="1"/>
    <col min="87" max="87" width="11.42578125" style="2" hidden="1" customWidth="1"/>
    <col min="88" max="88" width="15.140625" style="2" hidden="1" customWidth="1"/>
    <col min="89" max="89" width="26.42578125" style="2" hidden="1" customWidth="1"/>
    <col min="90" max="90" width="15" style="2" hidden="1" customWidth="1"/>
    <col min="91" max="91" width="11.42578125" style="2" hidden="1" customWidth="1"/>
    <col min="92" max="92" width="15" style="2" hidden="1" customWidth="1"/>
    <col min="93" max="93" width="17.140625" style="2" hidden="1" customWidth="1"/>
    <col min="94" max="94" width="15" style="2" hidden="1" customWidth="1"/>
    <col min="95" max="95" width="17.140625" style="2" hidden="1" customWidth="1"/>
    <col min="96" max="96" width="55.42578125" style="2" hidden="1" customWidth="1"/>
    <col min="97" max="97" width="17.140625" style="2" hidden="1" customWidth="1"/>
    <col min="98" max="98" width="55.42578125" style="2" hidden="1" customWidth="1"/>
    <col min="99" max="99" width="17.140625" style="2" hidden="1" customWidth="1"/>
    <col min="100" max="100" width="55.42578125" style="2" hidden="1" customWidth="1"/>
    <col min="101" max="101" width="17.140625" style="2" hidden="1" customWidth="1"/>
    <col min="102" max="102" width="55.42578125" style="2" hidden="1" customWidth="1"/>
    <col min="103" max="145" width="11.42578125" style="2" hidden="1" customWidth="1"/>
    <col min="146" max="146" width="15.28515625" style="2" hidden="1" customWidth="1"/>
    <col min="147" max="149" width="22.85546875" style="2" hidden="1" customWidth="1"/>
    <col min="150" max="150" width="21.140625" style="2" hidden="1" customWidth="1"/>
    <col min="151" max="151" width="11.42578125" style="2" hidden="1" customWidth="1"/>
    <col min="152" max="16384" width="11.42578125" style="2"/>
  </cols>
  <sheetData>
    <row r="1" spans="1:151" ht="81" customHeight="1" x14ac:dyDescent="0.2">
      <c r="A1" s="215" t="s">
        <v>323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123"/>
      <c r="AG1" s="124"/>
      <c r="AH1" s="123"/>
      <c r="AI1" s="123"/>
      <c r="AJ1" s="123"/>
      <c r="AK1" s="123"/>
      <c r="AL1" s="123"/>
      <c r="AM1" s="123"/>
      <c r="AN1" s="123"/>
      <c r="AO1" s="123"/>
      <c r="AP1" s="125"/>
      <c r="EP1" s="171">
        <v>45108</v>
      </c>
      <c r="EQ1" s="171">
        <v>45199</v>
      </c>
      <c r="ER1" s="176"/>
      <c r="ES1" s="175"/>
      <c r="ET1" s="175"/>
    </row>
    <row r="2" spans="1:151" ht="9.75" customHeight="1" x14ac:dyDescent="0.2">
      <c r="A2" s="241" t="s">
        <v>241</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100"/>
      <c r="AG2" s="101"/>
      <c r="AP2" s="126"/>
      <c r="EP2" s="201" t="s">
        <v>549</v>
      </c>
      <c r="EQ2" s="201" t="s">
        <v>550</v>
      </c>
      <c r="ES2" s="202"/>
    </row>
    <row r="3" spans="1:151" ht="9.75" customHeight="1" x14ac:dyDescent="0.2">
      <c r="A3" s="241"/>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100"/>
      <c r="AG3" s="101"/>
      <c r="AP3" s="126"/>
      <c r="EP3" s="201"/>
      <c r="EQ3" s="201"/>
      <c r="ES3" s="202"/>
    </row>
    <row r="4" spans="1:151" ht="9.75" customHeight="1" x14ac:dyDescent="0.2">
      <c r="A4" s="24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100"/>
      <c r="AG4" s="101"/>
      <c r="AP4" s="126"/>
      <c r="EP4" s="201"/>
      <c r="EQ4" s="201"/>
      <c r="ES4" s="202"/>
    </row>
    <row r="5" spans="1:151" ht="5.25" customHeight="1" thickBot="1" x14ac:dyDescent="0.25">
      <c r="A5" s="243"/>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3"/>
      <c r="AG5" s="102"/>
      <c r="AP5" s="126"/>
    </row>
    <row r="6" spans="1:151" ht="51" customHeight="1" x14ac:dyDescent="0.2">
      <c r="A6" s="127" t="s">
        <v>229</v>
      </c>
      <c r="B6" s="110">
        <v>45320</v>
      </c>
      <c r="C6" s="3"/>
      <c r="D6" s="258"/>
      <c r="E6" s="258"/>
      <c r="F6" s="258"/>
      <c r="G6" s="195"/>
      <c r="H6" s="195"/>
      <c r="I6" s="195"/>
      <c r="J6" s="195"/>
      <c r="K6" s="195"/>
      <c r="L6" s="195"/>
      <c r="M6" s="128"/>
      <c r="N6" s="128"/>
      <c r="O6" s="128"/>
      <c r="P6" s="128"/>
      <c r="Q6" s="128"/>
      <c r="R6" s="128"/>
      <c r="S6" s="128"/>
      <c r="T6" s="128"/>
      <c r="U6" s="245" t="s">
        <v>777</v>
      </c>
      <c r="V6" s="246"/>
      <c r="W6" s="246"/>
      <c r="X6" s="246"/>
      <c r="Y6" s="246"/>
      <c r="Z6" s="246"/>
      <c r="AA6" s="246"/>
      <c r="AB6" s="246"/>
      <c r="AC6" s="246"/>
      <c r="AD6" s="246"/>
      <c r="AE6" s="246"/>
      <c r="AF6" s="247"/>
      <c r="AG6" s="50"/>
      <c r="AP6" s="126"/>
    </row>
    <row r="7" spans="1:151" ht="4.5" customHeight="1" thickBot="1" x14ac:dyDescent="0.25">
      <c r="A7" s="3"/>
      <c r="U7" s="248"/>
      <c r="V7" s="249"/>
      <c r="W7" s="249"/>
      <c r="X7" s="249"/>
      <c r="Y7" s="249"/>
      <c r="Z7" s="249"/>
      <c r="AA7" s="249"/>
      <c r="AB7" s="249"/>
      <c r="AC7" s="249"/>
      <c r="AD7" s="249"/>
      <c r="AE7" s="249"/>
      <c r="AF7" s="250"/>
      <c r="AG7" s="44"/>
      <c r="AP7" s="126"/>
    </row>
    <row r="8" spans="1:151" ht="5.25" customHeight="1" thickBot="1" x14ac:dyDescent="0.25">
      <c r="A8" s="129"/>
      <c r="AG8" s="44"/>
      <c r="AP8" s="126"/>
    </row>
    <row r="9" spans="1:151" ht="18" customHeight="1" x14ac:dyDescent="0.2">
      <c r="A9" s="130"/>
      <c r="B9" s="111"/>
      <c r="C9" s="130"/>
      <c r="D9" s="130"/>
      <c r="E9" s="111"/>
      <c r="F9" s="54"/>
      <c r="G9" s="114"/>
      <c r="H9" s="114"/>
      <c r="I9" s="114"/>
      <c r="J9" s="115"/>
      <c r="K9" s="54"/>
      <c r="L9" s="115"/>
      <c r="M9" s="217" t="s">
        <v>230</v>
      </c>
      <c r="N9" s="218"/>
      <c r="O9" s="219"/>
      <c r="P9" s="223" t="s">
        <v>231</v>
      </c>
      <c r="Q9" s="224"/>
      <c r="R9" s="224"/>
      <c r="S9" s="224"/>
      <c r="T9" s="225"/>
      <c r="U9" s="229"/>
      <c r="V9" s="229"/>
      <c r="W9" s="230" t="s">
        <v>232</v>
      </c>
      <c r="X9" s="230"/>
      <c r="Y9" s="230"/>
      <c r="Z9" s="231"/>
      <c r="AA9" s="235" t="s">
        <v>233</v>
      </c>
      <c r="AB9" s="236"/>
      <c r="AC9" s="236"/>
      <c r="AD9" s="236"/>
      <c r="AE9" s="236"/>
      <c r="AF9" s="237"/>
      <c r="AG9" s="203" t="s">
        <v>228</v>
      </c>
      <c r="AH9" s="204"/>
      <c r="AI9" s="204"/>
      <c r="AJ9" s="204"/>
      <c r="AK9" s="204"/>
      <c r="AL9" s="204"/>
      <c r="AM9" s="204"/>
      <c r="AN9" s="204"/>
      <c r="AO9" s="204"/>
      <c r="AP9" s="204"/>
      <c r="AQ9" s="205" t="s">
        <v>226</v>
      </c>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6"/>
    </row>
    <row r="10" spans="1:151" ht="21.95" customHeight="1" x14ac:dyDescent="0.2">
      <c r="A10" s="131"/>
      <c r="B10" s="112"/>
      <c r="C10" s="131"/>
      <c r="D10" s="131"/>
      <c r="E10" s="112"/>
      <c r="F10" s="118"/>
      <c r="G10" s="116"/>
      <c r="H10" s="116"/>
      <c r="I10" s="116"/>
      <c r="J10" s="117"/>
      <c r="K10" s="118"/>
      <c r="L10" s="117"/>
      <c r="M10" s="220"/>
      <c r="N10" s="221"/>
      <c r="O10" s="222"/>
      <c r="P10" s="226"/>
      <c r="Q10" s="227"/>
      <c r="R10" s="227"/>
      <c r="S10" s="227"/>
      <c r="T10" s="228"/>
      <c r="U10" s="119"/>
      <c r="V10" s="120"/>
      <c r="W10" s="232"/>
      <c r="X10" s="233"/>
      <c r="Y10" s="233"/>
      <c r="Z10" s="234"/>
      <c r="AA10" s="238"/>
      <c r="AB10" s="239"/>
      <c r="AC10" s="239"/>
      <c r="AD10" s="239"/>
      <c r="AE10" s="239"/>
      <c r="AF10" s="240"/>
      <c r="AG10" s="55"/>
      <c r="AH10" s="209" t="s">
        <v>536</v>
      </c>
      <c r="AI10" s="210"/>
      <c r="AJ10" s="210"/>
      <c r="AK10" s="210"/>
      <c r="AL10" s="210"/>
      <c r="AM10" s="211"/>
      <c r="AN10" s="212" t="s">
        <v>234</v>
      </c>
      <c r="AO10" s="213"/>
      <c r="AP10" s="214"/>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8"/>
      <c r="CD10" s="196" t="s">
        <v>449</v>
      </c>
      <c r="CE10" s="196"/>
      <c r="CF10" s="151" t="s">
        <v>446</v>
      </c>
      <c r="CG10" s="196" t="s">
        <v>450</v>
      </c>
      <c r="CH10" s="196"/>
      <c r="CI10" s="196" t="s">
        <v>451</v>
      </c>
      <c r="CJ10" s="196"/>
      <c r="CK10" s="196"/>
      <c r="CL10" s="196" t="s">
        <v>455</v>
      </c>
      <c r="CM10" s="196"/>
      <c r="CN10" s="196" t="s">
        <v>460</v>
      </c>
      <c r="CO10" s="196"/>
      <c r="CP10" s="196" t="s">
        <v>461</v>
      </c>
      <c r="CQ10" s="196"/>
      <c r="CR10" s="196" t="s">
        <v>463</v>
      </c>
      <c r="CS10" s="196"/>
      <c r="CT10" s="196" t="s">
        <v>507</v>
      </c>
      <c r="CU10" s="196"/>
      <c r="CV10" s="196" t="s">
        <v>505</v>
      </c>
      <c r="CW10" s="196"/>
      <c r="CX10" s="151" t="s">
        <v>508</v>
      </c>
      <c r="DK10" s="196" t="s">
        <v>513</v>
      </c>
      <c r="DL10" s="196"/>
      <c r="DM10" s="196"/>
      <c r="DN10" s="196"/>
      <c r="DO10" s="196"/>
      <c r="DP10" s="196"/>
      <c r="DQ10" s="196"/>
      <c r="DR10" s="196"/>
      <c r="EP10" s="174"/>
      <c r="EQ10" s="174" t="s">
        <v>547</v>
      </c>
      <c r="ER10" s="174"/>
      <c r="ES10" s="174"/>
      <c r="ET10" s="174"/>
      <c r="EU10" s="174"/>
    </row>
    <row r="11" spans="1:151" ht="132" customHeight="1" x14ac:dyDescent="0.2">
      <c r="A11" s="132" t="s">
        <v>282</v>
      </c>
      <c r="B11" s="113" t="s">
        <v>285</v>
      </c>
      <c r="C11" s="132" t="s">
        <v>286</v>
      </c>
      <c r="D11" s="132" t="s">
        <v>287</v>
      </c>
      <c r="E11" s="113" t="s">
        <v>288</v>
      </c>
      <c r="F11" s="104" t="s">
        <v>298</v>
      </c>
      <c r="G11" s="150" t="s">
        <v>533</v>
      </c>
      <c r="H11" s="150" t="s">
        <v>534</v>
      </c>
      <c r="I11" s="121" t="s">
        <v>289</v>
      </c>
      <c r="J11" s="104" t="s">
        <v>220</v>
      </c>
      <c r="K11" s="104" t="s">
        <v>299</v>
      </c>
      <c r="L11" s="104" t="s">
        <v>535</v>
      </c>
      <c r="M11" s="45" t="s">
        <v>221</v>
      </c>
      <c r="N11" s="45" t="s">
        <v>222</v>
      </c>
      <c r="O11" s="48" t="s">
        <v>290</v>
      </c>
      <c r="P11" s="45" t="s">
        <v>283</v>
      </c>
      <c r="Q11" s="45" t="s">
        <v>291</v>
      </c>
      <c r="R11" s="45" t="s">
        <v>236</v>
      </c>
      <c r="S11" s="45" t="s">
        <v>425</v>
      </c>
      <c r="T11" s="45" t="s">
        <v>292</v>
      </c>
      <c r="U11" s="52" t="s">
        <v>293</v>
      </c>
      <c r="V11" s="52" t="s">
        <v>300</v>
      </c>
      <c r="W11" s="52" t="s">
        <v>294</v>
      </c>
      <c r="X11" s="52" t="s">
        <v>301</v>
      </c>
      <c r="Y11" s="53" t="s">
        <v>295</v>
      </c>
      <c r="Z11" s="53" t="s">
        <v>237</v>
      </c>
      <c r="AA11" s="49" t="s">
        <v>296</v>
      </c>
      <c r="AB11" s="52" t="s">
        <v>302</v>
      </c>
      <c r="AC11" s="49" t="s">
        <v>303</v>
      </c>
      <c r="AD11" s="52" t="s">
        <v>304</v>
      </c>
      <c r="AE11" s="48" t="s">
        <v>297</v>
      </c>
      <c r="AF11" s="48" t="s">
        <v>237</v>
      </c>
      <c r="AG11" s="45" t="s">
        <v>238</v>
      </c>
      <c r="AH11" s="48" t="s">
        <v>305</v>
      </c>
      <c r="AI11" s="48" t="s">
        <v>537</v>
      </c>
      <c r="AJ11" s="48" t="s">
        <v>538</v>
      </c>
      <c r="AK11" s="48" t="s">
        <v>539</v>
      </c>
      <c r="AL11" s="48" t="s">
        <v>540</v>
      </c>
      <c r="AM11" s="48" t="s">
        <v>541</v>
      </c>
      <c r="AN11" s="48" t="s">
        <v>306</v>
      </c>
      <c r="AO11" s="48" t="s">
        <v>307</v>
      </c>
      <c r="AP11" s="48" t="s">
        <v>308</v>
      </c>
      <c r="AQ11" s="122" t="s">
        <v>239</v>
      </c>
      <c r="AR11" s="64" t="s">
        <v>240</v>
      </c>
      <c r="AS11" s="61" t="s">
        <v>227</v>
      </c>
      <c r="AT11" s="48" t="s">
        <v>239</v>
      </c>
      <c r="AU11" s="62" t="s">
        <v>240</v>
      </c>
      <c r="AV11" s="60" t="s">
        <v>227</v>
      </c>
      <c r="AW11" s="45" t="s">
        <v>239</v>
      </c>
      <c r="AX11" s="64" t="s">
        <v>240</v>
      </c>
      <c r="AY11" s="61" t="s">
        <v>227</v>
      </c>
      <c r="AZ11" s="48" t="s">
        <v>239</v>
      </c>
      <c r="BA11" s="62" t="s">
        <v>240</v>
      </c>
      <c r="BB11" s="60" t="s">
        <v>227</v>
      </c>
      <c r="BC11" s="45" t="s">
        <v>239</v>
      </c>
      <c r="BD11" s="64" t="s">
        <v>240</v>
      </c>
      <c r="BE11" s="61" t="s">
        <v>227</v>
      </c>
      <c r="BF11" s="48" t="s">
        <v>239</v>
      </c>
      <c r="BG11" s="62" t="s">
        <v>240</v>
      </c>
      <c r="BH11" s="60" t="s">
        <v>227</v>
      </c>
      <c r="BI11" s="45" t="s">
        <v>239</v>
      </c>
      <c r="BJ11" s="64" t="s">
        <v>240</v>
      </c>
      <c r="BK11" s="61" t="s">
        <v>227</v>
      </c>
      <c r="BL11" s="48" t="s">
        <v>239</v>
      </c>
      <c r="BM11" s="62" t="s">
        <v>240</v>
      </c>
      <c r="BN11" s="60" t="s">
        <v>227</v>
      </c>
      <c r="BO11" s="45" t="s">
        <v>239</v>
      </c>
      <c r="BP11" s="64" t="s">
        <v>240</v>
      </c>
      <c r="BQ11" s="61" t="s">
        <v>227</v>
      </c>
      <c r="BR11" s="48" t="s">
        <v>239</v>
      </c>
      <c r="BS11" s="62" t="s">
        <v>240</v>
      </c>
      <c r="BT11" s="60" t="s">
        <v>227</v>
      </c>
      <c r="BU11" s="45" t="s">
        <v>239</v>
      </c>
      <c r="BV11" s="64" t="s">
        <v>240</v>
      </c>
      <c r="BW11" s="61" t="s">
        <v>227</v>
      </c>
      <c r="BX11" s="48" t="s">
        <v>239</v>
      </c>
      <c r="BY11" s="64" t="s">
        <v>240</v>
      </c>
      <c r="BZ11" s="63" t="s">
        <v>227</v>
      </c>
      <c r="CA11" s="2" t="s">
        <v>390</v>
      </c>
      <c r="CB11" s="48" t="s">
        <v>503</v>
      </c>
      <c r="CC11" s="48" t="s">
        <v>504</v>
      </c>
      <c r="CD11" s="48" t="s">
        <v>445</v>
      </c>
      <c r="CE11" s="48" t="s">
        <v>431</v>
      </c>
      <c r="CF11" s="149" t="s">
        <v>447</v>
      </c>
      <c r="CG11" s="48" t="s">
        <v>450</v>
      </c>
      <c r="CH11" s="48" t="s">
        <v>431</v>
      </c>
      <c r="CI11" s="48" t="s">
        <v>450</v>
      </c>
      <c r="CJ11" s="48" t="s">
        <v>431</v>
      </c>
      <c r="CK11" s="48" t="s">
        <v>530</v>
      </c>
      <c r="CL11" s="48" t="s">
        <v>456</v>
      </c>
      <c r="CM11" s="48" t="s">
        <v>431</v>
      </c>
      <c r="CN11" s="48" t="s">
        <v>459</v>
      </c>
      <c r="CO11" s="48" t="s">
        <v>431</v>
      </c>
      <c r="CP11" s="48" t="s">
        <v>462</v>
      </c>
      <c r="CQ11" s="48" t="s">
        <v>431</v>
      </c>
      <c r="CR11" s="48" t="s">
        <v>481</v>
      </c>
      <c r="CS11" s="48" t="s">
        <v>431</v>
      </c>
      <c r="CT11" s="48" t="s">
        <v>481</v>
      </c>
      <c r="CU11" s="48" t="s">
        <v>431</v>
      </c>
      <c r="CV11" s="48" t="s">
        <v>481</v>
      </c>
      <c r="CW11" s="48" t="s">
        <v>431</v>
      </c>
      <c r="CX11" s="48" t="s">
        <v>509</v>
      </c>
      <c r="CZ11" s="151" t="s">
        <v>512</v>
      </c>
      <c r="DA11" s="196" t="s">
        <v>511</v>
      </c>
      <c r="DB11" s="196"/>
      <c r="DC11" s="196"/>
      <c r="DD11" s="196"/>
      <c r="DE11" s="196"/>
      <c r="DF11" s="196"/>
      <c r="DG11" s="196"/>
      <c r="DH11" s="151" t="s">
        <v>512</v>
      </c>
      <c r="DI11" s="151" t="s">
        <v>512</v>
      </c>
      <c r="DK11" s="151" t="s">
        <v>514</v>
      </c>
      <c r="DL11" s="151" t="s">
        <v>515</v>
      </c>
      <c r="DM11" s="151" t="s">
        <v>516</v>
      </c>
      <c r="DN11" s="151" t="s">
        <v>517</v>
      </c>
      <c r="DO11" s="151" t="s">
        <v>518</v>
      </c>
      <c r="DP11" s="151" t="s">
        <v>531</v>
      </c>
      <c r="DQ11" s="151" t="s">
        <v>519</v>
      </c>
      <c r="DR11" s="151" t="s">
        <v>520</v>
      </c>
      <c r="DS11" s="151" t="s">
        <v>521</v>
      </c>
      <c r="DT11" s="151" t="s">
        <v>522</v>
      </c>
      <c r="DU11" s="151" t="s">
        <v>523</v>
      </c>
      <c r="DV11" s="151" t="s">
        <v>524</v>
      </c>
      <c r="DW11" s="151" t="s">
        <v>525</v>
      </c>
      <c r="DX11" s="151" t="s">
        <v>526</v>
      </c>
      <c r="DY11" s="151" t="s">
        <v>527</v>
      </c>
      <c r="DZ11" s="151" t="s">
        <v>528</v>
      </c>
      <c r="EA11" s="151" t="s">
        <v>526</v>
      </c>
      <c r="EB11" s="197" t="s">
        <v>529</v>
      </c>
      <c r="EC11" s="197"/>
      <c r="ED11" s="197"/>
      <c r="EE11" s="197"/>
      <c r="EF11" s="197"/>
      <c r="EG11" s="197"/>
      <c r="EH11" s="197"/>
      <c r="EI11" s="197"/>
      <c r="EJ11" s="197"/>
      <c r="EK11" s="197"/>
      <c r="EL11" s="197"/>
      <c r="EM11" s="197"/>
      <c r="EN11" s="197"/>
      <c r="EP11" s="45" t="s">
        <v>548</v>
      </c>
      <c r="EQ11" s="45" t="s">
        <v>551</v>
      </c>
      <c r="ER11" s="45" t="s">
        <v>543</v>
      </c>
      <c r="ES11" s="45" t="s">
        <v>544</v>
      </c>
      <c r="ET11" s="45" t="s">
        <v>545</v>
      </c>
      <c r="EU11" s="45" t="s">
        <v>546</v>
      </c>
    </row>
    <row r="12" spans="1:151" ht="399.95" customHeight="1" x14ac:dyDescent="0.2">
      <c r="A12" s="177" t="s">
        <v>272</v>
      </c>
      <c r="B12" s="158" t="s">
        <v>387</v>
      </c>
      <c r="C12" s="158" t="s">
        <v>557</v>
      </c>
      <c r="D12" s="177" t="s">
        <v>558</v>
      </c>
      <c r="E12" s="178" t="s">
        <v>388</v>
      </c>
      <c r="F12" s="158" t="s">
        <v>389</v>
      </c>
      <c r="G12" s="178" t="s">
        <v>542</v>
      </c>
      <c r="H12" s="178" t="s">
        <v>542</v>
      </c>
      <c r="I12" s="154" t="s">
        <v>559</v>
      </c>
      <c r="J12" s="177" t="s">
        <v>63</v>
      </c>
      <c r="K12" s="178" t="s">
        <v>329</v>
      </c>
      <c r="L12" s="158" t="s">
        <v>735</v>
      </c>
      <c r="M12" s="164" t="s">
        <v>560</v>
      </c>
      <c r="N12" s="158" t="s">
        <v>339</v>
      </c>
      <c r="O12" s="158" t="s">
        <v>562</v>
      </c>
      <c r="P12" s="158" t="s">
        <v>330</v>
      </c>
      <c r="Q12" s="158" t="s">
        <v>325</v>
      </c>
      <c r="R12" s="158" t="s">
        <v>331</v>
      </c>
      <c r="S12" s="158" t="s">
        <v>426</v>
      </c>
      <c r="T12" s="181" t="s">
        <v>561</v>
      </c>
      <c r="U12" s="179" t="s">
        <v>311</v>
      </c>
      <c r="V12" s="180">
        <v>0.2</v>
      </c>
      <c r="W12" s="179" t="s">
        <v>77</v>
      </c>
      <c r="X12" s="180">
        <v>0.8</v>
      </c>
      <c r="Y12" s="66" t="s">
        <v>270</v>
      </c>
      <c r="Z12" s="158" t="s">
        <v>340</v>
      </c>
      <c r="AA12" s="179" t="s">
        <v>311</v>
      </c>
      <c r="AB12" s="182">
        <v>6.2233919999999977E-3</v>
      </c>
      <c r="AC12" s="179" t="s">
        <v>77</v>
      </c>
      <c r="AD12" s="182">
        <v>0.8</v>
      </c>
      <c r="AE12" s="66" t="s">
        <v>270</v>
      </c>
      <c r="AF12" s="158" t="s">
        <v>341</v>
      </c>
      <c r="AG12" s="177" t="s">
        <v>328</v>
      </c>
      <c r="AH12" s="181" t="s">
        <v>563</v>
      </c>
      <c r="AI12" s="181" t="s">
        <v>564</v>
      </c>
      <c r="AJ12" s="181" t="s">
        <v>542</v>
      </c>
      <c r="AK12" s="181" t="s">
        <v>542</v>
      </c>
      <c r="AL12" s="183" t="s">
        <v>565</v>
      </c>
      <c r="AM12" s="181" t="s">
        <v>566</v>
      </c>
      <c r="AN12" s="181" t="s">
        <v>554</v>
      </c>
      <c r="AO12" s="181" t="s">
        <v>555</v>
      </c>
      <c r="AP12" s="181" t="s">
        <v>556</v>
      </c>
      <c r="AQ12" s="159">
        <v>45254</v>
      </c>
      <c r="AR12" s="160" t="s">
        <v>567</v>
      </c>
      <c r="AS12" s="161" t="s">
        <v>568</v>
      </c>
      <c r="AT12" s="162"/>
      <c r="AU12" s="163"/>
      <c r="AV12" s="164"/>
      <c r="AW12" s="162"/>
      <c r="AX12" s="160"/>
      <c r="AY12" s="161"/>
      <c r="AZ12" s="162"/>
      <c r="BA12" s="163"/>
      <c r="BB12" s="164"/>
      <c r="BC12" s="162"/>
      <c r="BD12" s="160"/>
      <c r="BE12" s="161"/>
      <c r="BF12" s="162"/>
      <c r="BG12" s="163"/>
      <c r="BH12" s="164"/>
      <c r="BI12" s="162"/>
      <c r="BJ12" s="160"/>
      <c r="BK12" s="161"/>
      <c r="BL12" s="162"/>
      <c r="BM12" s="163"/>
      <c r="BN12" s="164"/>
      <c r="BO12" s="162"/>
      <c r="BP12" s="160"/>
      <c r="BQ12" s="161"/>
      <c r="BR12" s="162"/>
      <c r="BS12" s="163"/>
      <c r="BT12" s="164"/>
      <c r="BU12" s="162"/>
      <c r="BV12" s="160"/>
      <c r="BW12" s="161"/>
      <c r="BX12" s="162"/>
      <c r="BY12" s="163"/>
      <c r="BZ12" s="165"/>
      <c r="CA12" s="2">
        <f t="shared" ref="CA12:CA31" si="0">COUNTBLANK(A12:BZ12)</f>
        <v>33</v>
      </c>
      <c r="CB12" s="51" t="s">
        <v>506</v>
      </c>
      <c r="CC12" s="51" t="s">
        <v>492</v>
      </c>
      <c r="CD12" s="51" t="s">
        <v>433</v>
      </c>
      <c r="CE12" s="51" t="s">
        <v>434</v>
      </c>
      <c r="CF12" s="51" t="s">
        <v>432</v>
      </c>
      <c r="CG12" s="51" t="s">
        <v>432</v>
      </c>
      <c r="CH12" s="51" t="s">
        <v>448</v>
      </c>
      <c r="CI12" s="51" t="s">
        <v>432</v>
      </c>
      <c r="CJ12" s="51" t="s">
        <v>453</v>
      </c>
      <c r="CK12" s="51"/>
      <c r="CL12" s="51" t="s">
        <v>452</v>
      </c>
      <c r="CM12" s="51" t="s">
        <v>457</v>
      </c>
      <c r="CN12" s="51" t="s">
        <v>452</v>
      </c>
      <c r="CO12" s="51" t="s">
        <v>452</v>
      </c>
      <c r="CP12" s="51" t="s">
        <v>452</v>
      </c>
      <c r="CQ12" s="51" t="s">
        <v>452</v>
      </c>
      <c r="CR12" s="51" t="s">
        <v>479</v>
      </c>
      <c r="CS12" s="51" t="s">
        <v>452</v>
      </c>
      <c r="CT12" s="51"/>
      <c r="CU12" s="51"/>
      <c r="CV12" s="51"/>
      <c r="CW12" s="51"/>
      <c r="CX12" s="51" t="s">
        <v>452</v>
      </c>
      <c r="CZ12" s="153" t="str">
        <f t="shared" ref="CZ12:CZ31" si="1">J12</f>
        <v>Corrupción</v>
      </c>
      <c r="DA12" s="200" t="str">
        <f t="shared" ref="DA12:DA31" si="2">I12</f>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DB12" s="200"/>
      <c r="DC12" s="200"/>
      <c r="DD12" s="200"/>
      <c r="DE12" s="200"/>
      <c r="DF12" s="200"/>
      <c r="DG12" s="200"/>
      <c r="DH12" s="153" t="str">
        <f t="shared" ref="DH12:DH31" si="3">Y12</f>
        <v>Alto</v>
      </c>
      <c r="DI12" s="153" t="str">
        <f t="shared" ref="DI12:DI19" si="4">AE12</f>
        <v>Alto</v>
      </c>
      <c r="DK12" s="149" t="e">
        <f>SUM(LEN(#REF!)-LEN(SUBSTITUTE(#REF!,"- Preventivo","")))/LEN("- Preventivo")</f>
        <v>#REF!</v>
      </c>
      <c r="DL12" s="149" t="e">
        <f t="shared" ref="DL12:DL31" si="5">SUMIFS($DK$12:$DK$31,$A$12:$A$31,A12)</f>
        <v>#REF!</v>
      </c>
      <c r="DM12" s="149" t="e">
        <f>SUM(LEN(#REF!)-LEN(SUBSTITUTE(#REF!,"- Detectivo","")))/LEN("- Detectivo")</f>
        <v>#REF!</v>
      </c>
      <c r="DN12" s="149" t="e">
        <f t="shared" ref="DN12:DN31" si="6">SUMIFS($DM$12:$DM$31,$A$12:$A$31,A12)</f>
        <v>#REF!</v>
      </c>
      <c r="DO12" s="149" t="e">
        <f>SUM(LEN(#REF!)-LEN(SUBSTITUTE(#REF!,"- Correctivo","")))/LEN("- Correctivo")</f>
        <v>#REF!</v>
      </c>
      <c r="DP12" s="149" t="e">
        <f t="shared" ref="DP12:DP31" si="7">SUMIFS($DO$12:$DO$31,$A$12:$A$31,A12)</f>
        <v>#REF!</v>
      </c>
      <c r="DQ12" s="149" t="e">
        <f t="shared" ref="DQ12:DQ27" si="8">DK12+DM12+DO12</f>
        <v>#REF!</v>
      </c>
      <c r="DR12" s="149" t="e">
        <f t="shared" ref="DR12:DR31" si="9">SUMIFS($DQ$12:$DQ$31,$A$12:$A$31,A12)</f>
        <v>#REF!</v>
      </c>
      <c r="DS12" s="149" t="e">
        <f>SUM(LEN(#REF!)-LEN(SUBSTITUTE(#REF!,"- Documentado","")))/LEN("- Documentado")</f>
        <v>#REF!</v>
      </c>
      <c r="DT12" s="149" t="e">
        <f>SUM(LEN(#REF!)-LEN(SUBSTITUTE(#REF!,"- Documentado","")))/LEN("- Documentado")</f>
        <v>#REF!</v>
      </c>
      <c r="DU12" s="149" t="e">
        <f t="shared" ref="DU12:DU31" si="10">SUMIFS($DS$12:$DS$31,$A$12:$A$31,A12)+SUMIFS($DT$12:$DT$31,$A$12:$A$31,A12)</f>
        <v>#REF!</v>
      </c>
      <c r="DV12" s="149" t="e">
        <f>SUM(LEN(#REF!)-LEN(SUBSTITUTE(#REF!,"- Continua","")))/LEN("- Continua")</f>
        <v>#REF!</v>
      </c>
      <c r="DW12" s="149" t="e">
        <f>SUM(LEN(#REF!)-LEN(SUBSTITUTE(#REF!,"- Continua","")))/LEN("- Continua")</f>
        <v>#REF!</v>
      </c>
      <c r="DX12" s="149" t="e">
        <f t="shared" ref="DX12:DX31" si="11">SUMIFS($DV$12:$DV$31,$A$12:$A$31,A12)+SUMIFS($DW$12:$DW$31,$A$12:$A$31,A12)</f>
        <v>#REF!</v>
      </c>
      <c r="DY12" s="149" t="e">
        <f>SUM(LEN(#REF!)-LEN(SUBSTITUTE(#REF!,"- Con registro","")))/LEN("- Con registro")</f>
        <v>#REF!</v>
      </c>
      <c r="DZ12" s="149" t="e">
        <f>SUM(LEN(#REF!)-LEN(SUBSTITUTE(#REF!,"- Con registro","")))/LEN("- Con registro")</f>
        <v>#REF!</v>
      </c>
      <c r="EA12" s="149" t="e">
        <f t="shared" ref="EA12:EA31" si="12">SUMIFS($DY$12:$DY$31,$A$12:$A$31,A12)+SUMIFS($DZ$12:$DZ$31,$A$12:$A$31,A12)</f>
        <v>#REF!</v>
      </c>
      <c r="EB12" s="152" t="e">
        <f t="shared" ref="EB12:EB27" si="13">CONCATENATE("El proceso estableció ",DR12," controles frente a los riesgos identificados, de los cuales:
")</f>
        <v>#REF!</v>
      </c>
      <c r="EC12" s="152" t="e">
        <f t="shared" ref="EC12:EC27" si="14">CONCATENATE("- ",DL12," son preventivos, ",DN12," detectivos y ",DP12," correctivos.
")</f>
        <v>#REF!</v>
      </c>
      <c r="ED12" s="184" t="e">
        <f t="shared" ref="ED12:ED27" si="15">CONCATENATE("- ",DU12," están documentados, ",DX12," se aplican continuamente de acuerdo con la periodicidad establecida y en ",EA12," se deja registro de la aplicación.")</f>
        <v>#REF!</v>
      </c>
      <c r="EE12" s="198" t="e">
        <f t="shared" ref="EE12:EE27" si="16">CONCATENATE(EB12,EC12,ED12)</f>
        <v>#REF!</v>
      </c>
      <c r="EF12" s="198"/>
      <c r="EG12" s="198"/>
      <c r="EH12" s="198"/>
      <c r="EI12" s="198"/>
      <c r="EJ12" s="198"/>
      <c r="EK12" s="198"/>
      <c r="EL12" s="198"/>
      <c r="EM12" s="198"/>
      <c r="EN12" s="198"/>
      <c r="EP12" s="172">
        <f t="shared" ref="EP12:EP27" si="17">IF(AQ12&gt;=$EP$1,AQ12,IF(AT12&gt;=$EP$1,AT12,IF(AW12&gt;=$EP$1,AW12,IF(AZ12&gt;=$EP$1,AZ12,IF(BC12&gt;=$EP$1,BC12,IF(BF12&gt;=$EP$1,BF12,IF(BI12&gt;=$EP$1,BI12,IF(BL12&gt;=$EP$1,BL12,IF(BO12&gt;=$EP$1,BO12,IF(BR12&gt;=$EP$1,BR12,IF(BU12&gt;=$EP$1,BU12,IF(BX12&gt;=$EP$1,BX12,""))))))))))))</f>
        <v>45254</v>
      </c>
      <c r="EQ12" s="173">
        <f t="shared" ref="EQ12:EQ27" si="18">IF(EP12="","",$B$6)</f>
        <v>45320</v>
      </c>
      <c r="ER12" s="149" t="str">
        <f t="shared" ref="ER12:ER27" si="19">IF(EQ12="","","Riesgos")</f>
        <v>Riesgos</v>
      </c>
      <c r="ES12" s="149" t="str">
        <f t="shared" ref="ES12:ES31" si="20">IF(ER12="","",CONCATENATE("ID_",G12,": ",I12))</f>
        <v>ID_-: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ET12" s="149" t="str">
        <f t="shared" ref="ET12:ET31" si="21">IF(ES12="","",CONCATENATE("Ajuste en ",VLOOKUP(EP12,AQ12:BZ12,(MATCH(EP12,AQ12:BZ12,10)+1))," en el Mapa de riesgos de ",A12))</f>
        <v>Ajuste en 
Establecimiento de controles
Tratamiento del riesgo en el Mapa de riesgos de Control Disciplinario</v>
      </c>
      <c r="EU12" s="149" t="str">
        <f t="shared" ref="EU12:EU31" si="22">IF(ET12="","",CONCATENATE("Solicitud de cambio realizada y aprobada por la ",L12," a través del Aplicativo DARUMA"))</f>
        <v>Solicitud de cambio realizada y aprobada por la Oficina de Control Disciplinario Interno, Oficina Jurídica y Despacho de la Secretaría General a través del Aplicativo DARUMA</v>
      </c>
    </row>
    <row r="13" spans="1:151" ht="399.95" customHeight="1" x14ac:dyDescent="0.2">
      <c r="A13" s="177" t="s">
        <v>273</v>
      </c>
      <c r="B13" s="158" t="s">
        <v>391</v>
      </c>
      <c r="C13" s="158" t="s">
        <v>569</v>
      </c>
      <c r="D13" s="177" t="s">
        <v>174</v>
      </c>
      <c r="E13" s="178" t="s">
        <v>388</v>
      </c>
      <c r="F13" s="158" t="s">
        <v>392</v>
      </c>
      <c r="G13" s="178" t="s">
        <v>542</v>
      </c>
      <c r="H13" s="178" t="s">
        <v>542</v>
      </c>
      <c r="I13" s="154" t="s">
        <v>734</v>
      </c>
      <c r="J13" s="177" t="s">
        <v>63</v>
      </c>
      <c r="K13" s="178" t="s">
        <v>329</v>
      </c>
      <c r="L13" s="158" t="s">
        <v>321</v>
      </c>
      <c r="M13" s="164" t="s">
        <v>345</v>
      </c>
      <c r="N13" s="158" t="s">
        <v>344</v>
      </c>
      <c r="O13" s="158" t="s">
        <v>346</v>
      </c>
      <c r="P13" s="158" t="s">
        <v>330</v>
      </c>
      <c r="Q13" s="158" t="s">
        <v>325</v>
      </c>
      <c r="R13" s="158" t="s">
        <v>331</v>
      </c>
      <c r="S13" s="158" t="s">
        <v>426</v>
      </c>
      <c r="T13" s="158" t="s">
        <v>561</v>
      </c>
      <c r="U13" s="179" t="s">
        <v>311</v>
      </c>
      <c r="V13" s="180">
        <v>0.2</v>
      </c>
      <c r="W13" s="179" t="s">
        <v>77</v>
      </c>
      <c r="X13" s="180">
        <v>0.8</v>
      </c>
      <c r="Y13" s="66" t="s">
        <v>270</v>
      </c>
      <c r="Z13" s="158" t="s">
        <v>340</v>
      </c>
      <c r="AA13" s="179" t="s">
        <v>311</v>
      </c>
      <c r="AB13" s="182">
        <v>8.3999999999999991E-2</v>
      </c>
      <c r="AC13" s="179" t="s">
        <v>77</v>
      </c>
      <c r="AD13" s="182">
        <v>0.8</v>
      </c>
      <c r="AE13" s="66" t="s">
        <v>270</v>
      </c>
      <c r="AF13" s="158" t="s">
        <v>341</v>
      </c>
      <c r="AG13" s="177" t="s">
        <v>328</v>
      </c>
      <c r="AH13" s="181" t="s">
        <v>570</v>
      </c>
      <c r="AI13" s="181" t="s">
        <v>571</v>
      </c>
      <c r="AJ13" s="181" t="s">
        <v>542</v>
      </c>
      <c r="AK13" s="181" t="s">
        <v>542</v>
      </c>
      <c r="AL13" s="183" t="s">
        <v>572</v>
      </c>
      <c r="AM13" s="183" t="s">
        <v>573</v>
      </c>
      <c r="AN13" s="158" t="s">
        <v>574</v>
      </c>
      <c r="AO13" s="158" t="s">
        <v>575</v>
      </c>
      <c r="AP13" s="158" t="s">
        <v>576</v>
      </c>
      <c r="AQ13" s="159">
        <v>45261</v>
      </c>
      <c r="AR13" s="160" t="s">
        <v>577</v>
      </c>
      <c r="AS13" s="161" t="s">
        <v>578</v>
      </c>
      <c r="AT13" s="162"/>
      <c r="AU13" s="163"/>
      <c r="AV13" s="164"/>
      <c r="AW13" s="162"/>
      <c r="AX13" s="160"/>
      <c r="AY13" s="161"/>
      <c r="AZ13" s="162"/>
      <c r="BA13" s="163"/>
      <c r="BB13" s="164"/>
      <c r="BC13" s="162"/>
      <c r="BD13" s="160"/>
      <c r="BE13" s="161"/>
      <c r="BF13" s="162"/>
      <c r="BG13" s="163"/>
      <c r="BH13" s="164"/>
      <c r="BI13" s="162"/>
      <c r="BJ13" s="160"/>
      <c r="BK13" s="161"/>
      <c r="BL13" s="162"/>
      <c r="BM13" s="163"/>
      <c r="BN13" s="164"/>
      <c r="BO13" s="162"/>
      <c r="BP13" s="160"/>
      <c r="BQ13" s="161"/>
      <c r="BR13" s="162"/>
      <c r="BS13" s="163"/>
      <c r="BT13" s="164"/>
      <c r="BU13" s="162"/>
      <c r="BV13" s="160"/>
      <c r="BW13" s="161"/>
      <c r="BX13" s="162"/>
      <c r="BY13" s="163"/>
      <c r="BZ13" s="165"/>
      <c r="CA13" s="2">
        <f t="shared" si="0"/>
        <v>33</v>
      </c>
      <c r="CB13" s="51" t="s">
        <v>490</v>
      </c>
      <c r="CC13" s="51" t="s">
        <v>501</v>
      </c>
      <c r="CD13" s="142" t="s">
        <v>435</v>
      </c>
      <c r="CE13" s="51" t="s">
        <v>452</v>
      </c>
      <c r="CF13" s="51" t="s">
        <v>432</v>
      </c>
      <c r="CG13" s="51" t="s">
        <v>432</v>
      </c>
      <c r="CH13" s="51" t="s">
        <v>448</v>
      </c>
      <c r="CI13" s="51" t="s">
        <v>432</v>
      </c>
      <c r="CJ13" s="51" t="s">
        <v>452</v>
      </c>
      <c r="CK13" s="51"/>
      <c r="CL13" s="51" t="s">
        <v>458</v>
      </c>
      <c r="CM13" s="51" t="s">
        <v>457</v>
      </c>
      <c r="CN13" s="51" t="s">
        <v>452</v>
      </c>
      <c r="CO13" s="51" t="s">
        <v>452</v>
      </c>
      <c r="CP13" s="51" t="s">
        <v>452</v>
      </c>
      <c r="CQ13" s="51" t="s">
        <v>452</v>
      </c>
      <c r="CR13" s="51" t="s">
        <v>480</v>
      </c>
      <c r="CS13" s="51" t="s">
        <v>452</v>
      </c>
      <c r="CT13" s="51" t="s">
        <v>452</v>
      </c>
      <c r="CU13" s="51" t="s">
        <v>452</v>
      </c>
      <c r="CV13" s="51" t="s">
        <v>452</v>
      </c>
      <c r="CW13" s="51" t="s">
        <v>452</v>
      </c>
      <c r="CX13" s="51" t="s">
        <v>452</v>
      </c>
      <c r="CZ13" s="153" t="str">
        <f t="shared" si="1"/>
        <v>Corrupción</v>
      </c>
      <c r="DA13" s="200" t="str">
        <f t="shared" si="2"/>
        <v>Posibilidad de afectación reputacional por sanción disciplinaria de una instancia competente o de un ente de control o regulador, debido a resultados y conclusiones ajustadas a intereses propios o de un tercero, como producto de las evaluaciones de auditoría practicadas.</v>
      </c>
      <c r="DB13" s="200"/>
      <c r="DC13" s="200"/>
      <c r="DD13" s="200"/>
      <c r="DE13" s="200"/>
      <c r="DF13" s="200"/>
      <c r="DG13" s="200"/>
      <c r="DH13" s="153" t="str">
        <f t="shared" si="3"/>
        <v>Alto</v>
      </c>
      <c r="DI13" s="153" t="str">
        <f t="shared" si="4"/>
        <v>Alto</v>
      </c>
      <c r="DK13" s="149" t="e">
        <f>SUM(LEN(#REF!)-LEN(SUBSTITUTE(#REF!,"- Preventivo","")))/LEN("- Preventivo")</f>
        <v>#REF!</v>
      </c>
      <c r="DL13" s="149" t="e">
        <f t="shared" si="5"/>
        <v>#REF!</v>
      </c>
      <c r="DM13" s="149" t="e">
        <f>SUM(LEN(#REF!)-LEN(SUBSTITUTE(#REF!,"- Detectivo","")))/LEN("- Detectivo")</f>
        <v>#REF!</v>
      </c>
      <c r="DN13" s="149" t="e">
        <f t="shared" si="6"/>
        <v>#REF!</v>
      </c>
      <c r="DO13" s="149" t="e">
        <f>SUM(LEN(#REF!)-LEN(SUBSTITUTE(#REF!,"- Correctivo","")))/LEN("- Correctivo")</f>
        <v>#REF!</v>
      </c>
      <c r="DP13" s="149" t="e">
        <f t="shared" si="7"/>
        <v>#REF!</v>
      </c>
      <c r="DQ13" s="149" t="e">
        <f t="shared" si="8"/>
        <v>#REF!</v>
      </c>
      <c r="DR13" s="149" t="e">
        <f t="shared" si="9"/>
        <v>#REF!</v>
      </c>
      <c r="DS13" s="149" t="e">
        <f>SUM(LEN(#REF!)-LEN(SUBSTITUTE(#REF!,"- Documentado","")))/LEN("- Documentado")</f>
        <v>#REF!</v>
      </c>
      <c r="DT13" s="149" t="e">
        <f>SUM(LEN(#REF!)-LEN(SUBSTITUTE(#REF!,"- Documentado","")))/LEN("- Documentado")</f>
        <v>#REF!</v>
      </c>
      <c r="DU13" s="149" t="e">
        <f t="shared" si="10"/>
        <v>#REF!</v>
      </c>
      <c r="DV13" s="149" t="e">
        <f>SUM(LEN(#REF!)-LEN(SUBSTITUTE(#REF!,"- Continua","")))/LEN("- Continua")</f>
        <v>#REF!</v>
      </c>
      <c r="DW13" s="149" t="e">
        <f>SUM(LEN(#REF!)-LEN(SUBSTITUTE(#REF!,"- Continua","")))/LEN("- Continua")</f>
        <v>#REF!</v>
      </c>
      <c r="DX13" s="149" t="e">
        <f t="shared" si="11"/>
        <v>#REF!</v>
      </c>
      <c r="DY13" s="149" t="e">
        <f>SUM(LEN(#REF!)-LEN(SUBSTITUTE(#REF!,"- Con registro","")))/LEN("- Con registro")</f>
        <v>#REF!</v>
      </c>
      <c r="DZ13" s="149" t="e">
        <f>SUM(LEN(#REF!)-LEN(SUBSTITUTE(#REF!,"- Con registro","")))/LEN("- Con registro")</f>
        <v>#REF!</v>
      </c>
      <c r="EA13" s="149" t="e">
        <f t="shared" si="12"/>
        <v>#REF!</v>
      </c>
      <c r="EB13" s="152" t="e">
        <f t="shared" si="13"/>
        <v>#REF!</v>
      </c>
      <c r="EC13" s="152" t="e">
        <f t="shared" si="14"/>
        <v>#REF!</v>
      </c>
      <c r="ED13" s="184" t="e">
        <f t="shared" si="15"/>
        <v>#REF!</v>
      </c>
      <c r="EE13" s="198" t="e">
        <f t="shared" si="16"/>
        <v>#REF!</v>
      </c>
      <c r="EF13" s="198"/>
      <c r="EG13" s="198"/>
      <c r="EH13" s="198"/>
      <c r="EI13" s="198"/>
      <c r="EJ13" s="198"/>
      <c r="EK13" s="198"/>
      <c r="EL13" s="198"/>
      <c r="EM13" s="198"/>
      <c r="EN13" s="198"/>
      <c r="EP13" s="172">
        <f t="shared" si="17"/>
        <v>45261</v>
      </c>
      <c r="EQ13" s="173">
        <f t="shared" si="18"/>
        <v>45320</v>
      </c>
      <c r="ER13" s="149" t="str">
        <f t="shared" si="19"/>
        <v>Riesgos</v>
      </c>
      <c r="ES13" s="149" t="str">
        <f t="shared" si="20"/>
        <v>ID_-: Posibilidad de afectación reputacional por sanción disciplinaria de una instancia competente o de un ente de control o regulador, debido a resultados y conclusiones ajustadas a intereses propios o de un tercero, como producto de las evaluaciones de auditoría practicadas.</v>
      </c>
      <c r="ET13" s="149" t="str">
        <f t="shared" si="21"/>
        <v>Ajuste en Identificación del riesgo
Establecimiento de controles
Tratamiento del riesgo en el Mapa de riesgos de Evaluación del Sistema de Control Interno</v>
      </c>
      <c r="EU13" s="149" t="str">
        <f t="shared" si="22"/>
        <v>Solicitud de cambio realizada y aprobada por la Oficina de Control Interno a través del Aplicativo DARUMA</v>
      </c>
    </row>
    <row r="14" spans="1:151" ht="399.95" customHeight="1" x14ac:dyDescent="0.2">
      <c r="A14" s="177" t="s">
        <v>393</v>
      </c>
      <c r="B14" s="158" t="s">
        <v>579</v>
      </c>
      <c r="C14" s="158" t="s">
        <v>394</v>
      </c>
      <c r="D14" s="177" t="s">
        <v>424</v>
      </c>
      <c r="E14" s="178" t="s">
        <v>38</v>
      </c>
      <c r="F14" s="158" t="s">
        <v>395</v>
      </c>
      <c r="G14" s="178" t="s">
        <v>542</v>
      </c>
      <c r="H14" s="178" t="s">
        <v>542</v>
      </c>
      <c r="I14" s="154" t="s">
        <v>362</v>
      </c>
      <c r="J14" s="177" t="s">
        <v>63</v>
      </c>
      <c r="K14" s="178" t="s">
        <v>326</v>
      </c>
      <c r="L14" s="158" t="s">
        <v>251</v>
      </c>
      <c r="M14" s="164" t="s">
        <v>580</v>
      </c>
      <c r="N14" s="158" t="s">
        <v>581</v>
      </c>
      <c r="O14" s="158" t="s">
        <v>582</v>
      </c>
      <c r="P14" s="158" t="s">
        <v>330</v>
      </c>
      <c r="Q14" s="158" t="s">
        <v>583</v>
      </c>
      <c r="R14" s="158" t="s">
        <v>347</v>
      </c>
      <c r="S14" s="158" t="s">
        <v>426</v>
      </c>
      <c r="T14" s="158" t="s">
        <v>561</v>
      </c>
      <c r="U14" s="179" t="s">
        <v>311</v>
      </c>
      <c r="V14" s="180">
        <v>0.2</v>
      </c>
      <c r="W14" s="179" t="s">
        <v>51</v>
      </c>
      <c r="X14" s="180">
        <v>1</v>
      </c>
      <c r="Y14" s="66" t="s">
        <v>271</v>
      </c>
      <c r="Z14" s="158" t="s">
        <v>363</v>
      </c>
      <c r="AA14" s="179" t="s">
        <v>311</v>
      </c>
      <c r="AB14" s="182">
        <v>1.2700799999999998E-2</v>
      </c>
      <c r="AC14" s="179" t="s">
        <v>51</v>
      </c>
      <c r="AD14" s="182">
        <v>1</v>
      </c>
      <c r="AE14" s="66" t="s">
        <v>271</v>
      </c>
      <c r="AF14" s="158" t="s">
        <v>364</v>
      </c>
      <c r="AG14" s="177" t="s">
        <v>328</v>
      </c>
      <c r="AH14" s="181" t="s">
        <v>584</v>
      </c>
      <c r="AI14" s="181" t="s">
        <v>585</v>
      </c>
      <c r="AJ14" s="181" t="s">
        <v>542</v>
      </c>
      <c r="AK14" s="181" t="s">
        <v>542</v>
      </c>
      <c r="AL14" s="183" t="s">
        <v>586</v>
      </c>
      <c r="AM14" s="183" t="s">
        <v>587</v>
      </c>
      <c r="AN14" s="158" t="s">
        <v>588</v>
      </c>
      <c r="AO14" s="158" t="s">
        <v>589</v>
      </c>
      <c r="AP14" s="158" t="s">
        <v>590</v>
      </c>
      <c r="AQ14" s="159">
        <v>45266</v>
      </c>
      <c r="AR14" s="160" t="s">
        <v>332</v>
      </c>
      <c r="AS14" s="161" t="s">
        <v>591</v>
      </c>
      <c r="AT14" s="162"/>
      <c r="AU14" s="163"/>
      <c r="AV14" s="164"/>
      <c r="AW14" s="162"/>
      <c r="AX14" s="160"/>
      <c r="AY14" s="161"/>
      <c r="AZ14" s="162"/>
      <c r="BA14" s="163"/>
      <c r="BB14" s="164"/>
      <c r="BC14" s="162"/>
      <c r="BD14" s="160"/>
      <c r="BE14" s="161"/>
      <c r="BF14" s="162"/>
      <c r="BG14" s="163"/>
      <c r="BH14" s="164"/>
      <c r="BI14" s="162"/>
      <c r="BJ14" s="160"/>
      <c r="BK14" s="161"/>
      <c r="BL14" s="162"/>
      <c r="BM14" s="163"/>
      <c r="BN14" s="164"/>
      <c r="BO14" s="162"/>
      <c r="BP14" s="160"/>
      <c r="BQ14" s="161"/>
      <c r="BR14" s="162"/>
      <c r="BS14" s="163"/>
      <c r="BT14" s="164"/>
      <c r="BU14" s="162"/>
      <c r="BV14" s="160"/>
      <c r="BW14" s="161"/>
      <c r="BX14" s="162"/>
      <c r="BY14" s="163"/>
      <c r="BZ14" s="165"/>
      <c r="CA14" s="2">
        <f t="shared" si="0"/>
        <v>33</v>
      </c>
      <c r="CB14" s="51" t="s">
        <v>497</v>
      </c>
      <c r="CC14" s="51" t="s">
        <v>498</v>
      </c>
      <c r="CD14" s="51" t="s">
        <v>436</v>
      </c>
      <c r="CE14" s="51" t="s">
        <v>452</v>
      </c>
      <c r="CF14" s="51" t="s">
        <v>432</v>
      </c>
      <c r="CG14" s="51" t="s">
        <v>432</v>
      </c>
      <c r="CH14" s="51" t="s">
        <v>448</v>
      </c>
      <c r="CI14" s="51" t="s">
        <v>432</v>
      </c>
      <c r="CJ14" s="51" t="s">
        <v>452</v>
      </c>
      <c r="CK14" s="51"/>
      <c r="CL14" s="51" t="s">
        <v>452</v>
      </c>
      <c r="CM14" s="51" t="s">
        <v>457</v>
      </c>
      <c r="CN14" s="51" t="s">
        <v>452</v>
      </c>
      <c r="CO14" s="51" t="s">
        <v>452</v>
      </c>
      <c r="CP14" s="51" t="s">
        <v>452</v>
      </c>
      <c r="CQ14" s="51" t="s">
        <v>452</v>
      </c>
      <c r="CR14" s="51" t="s">
        <v>465</v>
      </c>
      <c r="CS14" s="51" t="s">
        <v>452</v>
      </c>
      <c r="CT14" s="51" t="s">
        <v>452</v>
      </c>
      <c r="CU14" s="51" t="s">
        <v>452</v>
      </c>
      <c r="CV14" s="51" t="s">
        <v>452</v>
      </c>
      <c r="CW14" s="51" t="s">
        <v>452</v>
      </c>
      <c r="CX14" s="51" t="s">
        <v>452</v>
      </c>
      <c r="CZ14" s="153" t="str">
        <f t="shared" si="1"/>
        <v>Corrupción</v>
      </c>
      <c r="DA14" s="200" t="str">
        <f t="shared" si="2"/>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B14" s="200"/>
      <c r="DC14" s="200"/>
      <c r="DD14" s="200"/>
      <c r="DE14" s="200"/>
      <c r="DF14" s="200"/>
      <c r="DG14" s="200"/>
      <c r="DH14" s="153" t="str">
        <f t="shared" si="3"/>
        <v>Extremo</v>
      </c>
      <c r="DI14" s="153" t="str">
        <f t="shared" si="4"/>
        <v>Extremo</v>
      </c>
      <c r="DK14" s="149" t="e">
        <f>SUM(LEN(#REF!)-LEN(SUBSTITUTE(#REF!,"- Preventivo","")))/LEN("- Preventivo")</f>
        <v>#REF!</v>
      </c>
      <c r="DL14" s="149" t="e">
        <f t="shared" si="5"/>
        <v>#REF!</v>
      </c>
      <c r="DM14" s="149" t="e">
        <f>SUM(LEN(#REF!)-LEN(SUBSTITUTE(#REF!,"- Detectivo","")))/LEN("- Detectivo")</f>
        <v>#REF!</v>
      </c>
      <c r="DN14" s="149" t="e">
        <f t="shared" si="6"/>
        <v>#REF!</v>
      </c>
      <c r="DO14" s="149" t="e">
        <f>SUM(LEN(#REF!)-LEN(SUBSTITUTE(#REF!,"- Correctivo","")))/LEN("- Correctivo")</f>
        <v>#REF!</v>
      </c>
      <c r="DP14" s="149" t="e">
        <f t="shared" si="7"/>
        <v>#REF!</v>
      </c>
      <c r="DQ14" s="149" t="e">
        <f t="shared" si="8"/>
        <v>#REF!</v>
      </c>
      <c r="DR14" s="149" t="e">
        <f t="shared" si="9"/>
        <v>#REF!</v>
      </c>
      <c r="DS14" s="149" t="e">
        <f>SUM(LEN(#REF!)-LEN(SUBSTITUTE(#REF!,"- Documentado","")))/LEN("- Documentado")</f>
        <v>#REF!</v>
      </c>
      <c r="DT14" s="149" t="e">
        <f>SUM(LEN(#REF!)-LEN(SUBSTITUTE(#REF!,"- Documentado","")))/LEN("- Documentado")</f>
        <v>#REF!</v>
      </c>
      <c r="DU14" s="149" t="e">
        <f t="shared" si="10"/>
        <v>#REF!</v>
      </c>
      <c r="DV14" s="149" t="e">
        <f>SUM(LEN(#REF!)-LEN(SUBSTITUTE(#REF!,"- Continua","")))/LEN("- Continua")</f>
        <v>#REF!</v>
      </c>
      <c r="DW14" s="149" t="e">
        <f>SUM(LEN(#REF!)-LEN(SUBSTITUTE(#REF!,"- Continua","")))/LEN("- Continua")</f>
        <v>#REF!</v>
      </c>
      <c r="DX14" s="149" t="e">
        <f t="shared" si="11"/>
        <v>#REF!</v>
      </c>
      <c r="DY14" s="149" t="e">
        <f>SUM(LEN(#REF!)-LEN(SUBSTITUTE(#REF!,"- Con registro","")))/LEN("- Con registro")</f>
        <v>#REF!</v>
      </c>
      <c r="DZ14" s="149" t="e">
        <f>SUM(LEN(#REF!)-LEN(SUBSTITUTE(#REF!,"- Con registro","")))/LEN("- Con registro")</f>
        <v>#REF!</v>
      </c>
      <c r="EA14" s="149" t="e">
        <f t="shared" si="12"/>
        <v>#REF!</v>
      </c>
      <c r="EB14" s="152" t="e">
        <f t="shared" si="13"/>
        <v>#REF!</v>
      </c>
      <c r="EC14" s="152" t="e">
        <f t="shared" si="14"/>
        <v>#REF!</v>
      </c>
      <c r="ED14" s="184" t="e">
        <f t="shared" si="15"/>
        <v>#REF!</v>
      </c>
      <c r="EE14" s="198" t="e">
        <f t="shared" si="16"/>
        <v>#REF!</v>
      </c>
      <c r="EF14" s="198"/>
      <c r="EG14" s="198"/>
      <c r="EH14" s="198"/>
      <c r="EI14" s="198"/>
      <c r="EJ14" s="198"/>
      <c r="EK14" s="198"/>
      <c r="EL14" s="198"/>
      <c r="EM14" s="198"/>
      <c r="EN14" s="198"/>
      <c r="EP14" s="172">
        <f t="shared" si="17"/>
        <v>45266</v>
      </c>
      <c r="EQ14" s="173">
        <f t="shared" si="18"/>
        <v>45320</v>
      </c>
      <c r="ER14" s="149" t="str">
        <f t="shared" si="19"/>
        <v>Riesgos</v>
      </c>
      <c r="ES14" s="149" t="str">
        <f t="shared" si="20"/>
        <v>ID_-: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ET14" s="149" t="str">
        <f t="shared" si="21"/>
        <v>Ajuste en Identificación del riesgo
Tratamiento del riesgo en el Mapa de riesgos de Fortalecimiento de la Gestión Pública</v>
      </c>
      <c r="EU14" s="149" t="str">
        <f t="shared" si="22"/>
        <v>Solicitud de cambio realizada y aprobada por la Dirección Distrital de Archivo de Bogotá a través del Aplicativo DARUMA</v>
      </c>
    </row>
    <row r="15" spans="1:151" ht="399.95" customHeight="1" x14ac:dyDescent="0.2">
      <c r="A15" s="177" t="s">
        <v>393</v>
      </c>
      <c r="B15" s="158" t="s">
        <v>579</v>
      </c>
      <c r="C15" s="158" t="s">
        <v>394</v>
      </c>
      <c r="D15" s="177" t="s">
        <v>424</v>
      </c>
      <c r="E15" s="178" t="s">
        <v>38</v>
      </c>
      <c r="F15" s="158" t="s">
        <v>396</v>
      </c>
      <c r="G15" s="178" t="s">
        <v>542</v>
      </c>
      <c r="H15" s="178" t="s">
        <v>542</v>
      </c>
      <c r="I15" s="154" t="s">
        <v>592</v>
      </c>
      <c r="J15" s="177" t="s">
        <v>63</v>
      </c>
      <c r="K15" s="178" t="s">
        <v>326</v>
      </c>
      <c r="L15" s="158" t="s">
        <v>251</v>
      </c>
      <c r="M15" s="164" t="s">
        <v>593</v>
      </c>
      <c r="N15" s="158" t="s">
        <v>594</v>
      </c>
      <c r="O15" s="158" t="s">
        <v>365</v>
      </c>
      <c r="P15" s="158" t="s">
        <v>330</v>
      </c>
      <c r="Q15" s="158" t="s">
        <v>325</v>
      </c>
      <c r="R15" s="158" t="s">
        <v>347</v>
      </c>
      <c r="S15" s="158" t="s">
        <v>426</v>
      </c>
      <c r="T15" s="158" t="s">
        <v>561</v>
      </c>
      <c r="U15" s="179" t="s">
        <v>311</v>
      </c>
      <c r="V15" s="180">
        <v>0.2</v>
      </c>
      <c r="W15" s="179" t="s">
        <v>77</v>
      </c>
      <c r="X15" s="180">
        <v>0.8</v>
      </c>
      <c r="Y15" s="66" t="s">
        <v>270</v>
      </c>
      <c r="Z15" s="158" t="s">
        <v>595</v>
      </c>
      <c r="AA15" s="179" t="s">
        <v>311</v>
      </c>
      <c r="AB15" s="182">
        <v>3.5279999999999992E-2</v>
      </c>
      <c r="AC15" s="179" t="s">
        <v>77</v>
      </c>
      <c r="AD15" s="182">
        <v>0.8</v>
      </c>
      <c r="AE15" s="66" t="s">
        <v>270</v>
      </c>
      <c r="AF15" s="158" t="s">
        <v>341</v>
      </c>
      <c r="AG15" s="177" t="s">
        <v>328</v>
      </c>
      <c r="AH15" s="158" t="s">
        <v>596</v>
      </c>
      <c r="AI15" s="158" t="s">
        <v>597</v>
      </c>
      <c r="AJ15" s="158" t="s">
        <v>542</v>
      </c>
      <c r="AK15" s="158" t="s">
        <v>542</v>
      </c>
      <c r="AL15" s="158" t="s">
        <v>598</v>
      </c>
      <c r="AM15" s="158" t="s">
        <v>587</v>
      </c>
      <c r="AN15" s="158" t="s">
        <v>599</v>
      </c>
      <c r="AO15" s="158" t="s">
        <v>600</v>
      </c>
      <c r="AP15" s="158" t="s">
        <v>601</v>
      </c>
      <c r="AQ15" s="159">
        <v>45266</v>
      </c>
      <c r="AR15" s="160" t="s">
        <v>602</v>
      </c>
      <c r="AS15" s="161" t="s">
        <v>603</v>
      </c>
      <c r="AT15" s="162"/>
      <c r="AU15" s="163"/>
      <c r="AV15" s="164"/>
      <c r="AW15" s="162"/>
      <c r="AX15" s="160"/>
      <c r="AY15" s="161"/>
      <c r="AZ15" s="162"/>
      <c r="BA15" s="163"/>
      <c r="BB15" s="164"/>
      <c r="BC15" s="162"/>
      <c r="BD15" s="160"/>
      <c r="BE15" s="161"/>
      <c r="BF15" s="162"/>
      <c r="BG15" s="163"/>
      <c r="BH15" s="164"/>
      <c r="BI15" s="162"/>
      <c r="BJ15" s="160"/>
      <c r="BK15" s="161"/>
      <c r="BL15" s="162"/>
      <c r="BM15" s="163"/>
      <c r="BN15" s="164"/>
      <c r="BO15" s="162"/>
      <c r="BP15" s="160"/>
      <c r="BQ15" s="161"/>
      <c r="BR15" s="162"/>
      <c r="BS15" s="163"/>
      <c r="BT15" s="164"/>
      <c r="BU15" s="162"/>
      <c r="BV15" s="160"/>
      <c r="BW15" s="161"/>
      <c r="BX15" s="162"/>
      <c r="BY15" s="163"/>
      <c r="BZ15" s="165"/>
      <c r="CA15" s="2">
        <f t="shared" si="0"/>
        <v>33</v>
      </c>
      <c r="CB15" s="51" t="s">
        <v>497</v>
      </c>
      <c r="CC15" s="51" t="s">
        <v>498</v>
      </c>
      <c r="CD15" s="51" t="s">
        <v>436</v>
      </c>
      <c r="CE15" s="51" t="s">
        <v>452</v>
      </c>
      <c r="CF15" s="51" t="s">
        <v>432</v>
      </c>
      <c r="CG15" s="51" t="s">
        <v>432</v>
      </c>
      <c r="CH15" s="51" t="s">
        <v>448</v>
      </c>
      <c r="CI15" s="51" t="s">
        <v>432</v>
      </c>
      <c r="CJ15" s="51" t="s">
        <v>452</v>
      </c>
      <c r="CK15" s="51"/>
      <c r="CL15" s="51" t="s">
        <v>452</v>
      </c>
      <c r="CM15" s="51" t="s">
        <v>452</v>
      </c>
      <c r="CN15" s="51" t="s">
        <v>452</v>
      </c>
      <c r="CO15" s="51" t="s">
        <v>452</v>
      </c>
      <c r="CP15" s="51" t="s">
        <v>452</v>
      </c>
      <c r="CQ15" s="51" t="s">
        <v>452</v>
      </c>
      <c r="CR15" s="51" t="s">
        <v>464</v>
      </c>
      <c r="CS15" s="51" t="s">
        <v>452</v>
      </c>
      <c r="CT15" s="51"/>
      <c r="CU15" s="51"/>
      <c r="CV15" s="51"/>
      <c r="CW15" s="51"/>
      <c r="CX15" s="51" t="s">
        <v>452</v>
      </c>
      <c r="CZ15" s="153" t="str">
        <f t="shared" si="1"/>
        <v>Corrupción</v>
      </c>
      <c r="DA15" s="200" t="str">
        <f t="shared" si="2"/>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DB15" s="200"/>
      <c r="DC15" s="200"/>
      <c r="DD15" s="200"/>
      <c r="DE15" s="200"/>
      <c r="DF15" s="200"/>
      <c r="DG15" s="200"/>
      <c r="DH15" s="153" t="str">
        <f t="shared" si="3"/>
        <v>Alto</v>
      </c>
      <c r="DI15" s="153" t="str">
        <f t="shared" si="4"/>
        <v>Alto</v>
      </c>
      <c r="DK15" s="149" t="e">
        <f>SUM(LEN(#REF!)-LEN(SUBSTITUTE(#REF!,"- Preventivo","")))/LEN("- Preventivo")</f>
        <v>#REF!</v>
      </c>
      <c r="DL15" s="149" t="e">
        <f t="shared" si="5"/>
        <v>#REF!</v>
      </c>
      <c r="DM15" s="149" t="e">
        <f>SUM(LEN(#REF!)-LEN(SUBSTITUTE(#REF!,"- Detectivo","")))/LEN("- Detectivo")</f>
        <v>#REF!</v>
      </c>
      <c r="DN15" s="149" t="e">
        <f t="shared" si="6"/>
        <v>#REF!</v>
      </c>
      <c r="DO15" s="149" t="e">
        <f>SUM(LEN(#REF!)-LEN(SUBSTITUTE(#REF!,"- Correctivo","")))/LEN("- Correctivo")</f>
        <v>#REF!</v>
      </c>
      <c r="DP15" s="149" t="e">
        <f t="shared" si="7"/>
        <v>#REF!</v>
      </c>
      <c r="DQ15" s="149" t="e">
        <f t="shared" si="8"/>
        <v>#REF!</v>
      </c>
      <c r="DR15" s="149" t="e">
        <f t="shared" si="9"/>
        <v>#REF!</v>
      </c>
      <c r="DS15" s="149" t="e">
        <f>SUM(LEN(#REF!)-LEN(SUBSTITUTE(#REF!,"- Documentado","")))/LEN("- Documentado")</f>
        <v>#REF!</v>
      </c>
      <c r="DT15" s="149" t="e">
        <f>SUM(LEN(#REF!)-LEN(SUBSTITUTE(#REF!,"- Documentado","")))/LEN("- Documentado")</f>
        <v>#REF!</v>
      </c>
      <c r="DU15" s="149" t="e">
        <f t="shared" si="10"/>
        <v>#REF!</v>
      </c>
      <c r="DV15" s="149" t="e">
        <f>SUM(LEN(#REF!)-LEN(SUBSTITUTE(#REF!,"- Continua","")))/LEN("- Continua")</f>
        <v>#REF!</v>
      </c>
      <c r="DW15" s="149" t="e">
        <f>SUM(LEN(#REF!)-LEN(SUBSTITUTE(#REF!,"- Continua","")))/LEN("- Continua")</f>
        <v>#REF!</v>
      </c>
      <c r="DX15" s="149" t="e">
        <f t="shared" si="11"/>
        <v>#REF!</v>
      </c>
      <c r="DY15" s="149" t="e">
        <f>SUM(LEN(#REF!)-LEN(SUBSTITUTE(#REF!,"- Con registro","")))/LEN("- Con registro")</f>
        <v>#REF!</v>
      </c>
      <c r="DZ15" s="149" t="e">
        <f>SUM(LEN(#REF!)-LEN(SUBSTITUTE(#REF!,"- Con registro","")))/LEN("- Con registro")</f>
        <v>#REF!</v>
      </c>
      <c r="EA15" s="149" t="e">
        <f t="shared" si="12"/>
        <v>#REF!</v>
      </c>
      <c r="EB15" s="152" t="e">
        <f t="shared" si="13"/>
        <v>#REF!</v>
      </c>
      <c r="EC15" s="152" t="e">
        <f t="shared" si="14"/>
        <v>#REF!</v>
      </c>
      <c r="ED15" s="184" t="e">
        <f t="shared" si="15"/>
        <v>#REF!</v>
      </c>
      <c r="EE15" s="198" t="e">
        <f t="shared" si="16"/>
        <v>#REF!</v>
      </c>
      <c r="EF15" s="198"/>
      <c r="EG15" s="198"/>
      <c r="EH15" s="198"/>
      <c r="EI15" s="198"/>
      <c r="EJ15" s="198"/>
      <c r="EK15" s="198"/>
      <c r="EL15" s="198"/>
      <c r="EM15" s="198"/>
      <c r="EN15" s="198"/>
      <c r="EP15" s="172">
        <f t="shared" si="17"/>
        <v>45266</v>
      </c>
      <c r="EQ15" s="173">
        <f t="shared" si="18"/>
        <v>45320</v>
      </c>
      <c r="ER15" s="149" t="str">
        <f t="shared" si="19"/>
        <v>Riesgos</v>
      </c>
      <c r="ES15" s="149" t="str">
        <f t="shared" si="20"/>
        <v>ID_-: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ET15" s="149" t="str">
        <f t="shared" si="21"/>
        <v>Ajuste en Identificación del riesgo
Establecimiento de controles
Evaluación de controles
Tratamiento del riesgo en el Mapa de riesgos de Fortalecimiento de la Gestión Pública</v>
      </c>
      <c r="EU15" s="149" t="str">
        <f t="shared" si="22"/>
        <v>Solicitud de cambio realizada y aprobada por la Dirección Distrital de Archivo de Bogotá a través del Aplicativo DARUMA</v>
      </c>
    </row>
    <row r="16" spans="1:151" ht="399.95" customHeight="1" x14ac:dyDescent="0.2">
      <c r="A16" s="177" t="s">
        <v>397</v>
      </c>
      <c r="B16" s="158" t="s">
        <v>605</v>
      </c>
      <c r="C16" s="158" t="s">
        <v>606</v>
      </c>
      <c r="D16" s="177" t="s">
        <v>125</v>
      </c>
      <c r="E16" s="178" t="s">
        <v>398</v>
      </c>
      <c r="F16" s="158" t="s">
        <v>607</v>
      </c>
      <c r="G16" s="178" t="s">
        <v>542</v>
      </c>
      <c r="H16" s="178" t="s">
        <v>542</v>
      </c>
      <c r="I16" s="154" t="s">
        <v>617</v>
      </c>
      <c r="J16" s="177" t="s">
        <v>63</v>
      </c>
      <c r="K16" s="178" t="s">
        <v>326</v>
      </c>
      <c r="L16" s="158" t="s">
        <v>256</v>
      </c>
      <c r="M16" s="164" t="s">
        <v>335</v>
      </c>
      <c r="N16" s="158" t="s">
        <v>334</v>
      </c>
      <c r="O16" s="158" t="s">
        <v>333</v>
      </c>
      <c r="P16" s="158" t="s">
        <v>330</v>
      </c>
      <c r="Q16" s="158" t="s">
        <v>325</v>
      </c>
      <c r="R16" s="158" t="s">
        <v>331</v>
      </c>
      <c r="S16" s="158" t="s">
        <v>427</v>
      </c>
      <c r="T16" s="158" t="s">
        <v>608</v>
      </c>
      <c r="U16" s="179" t="s">
        <v>311</v>
      </c>
      <c r="V16" s="180">
        <v>0.2</v>
      </c>
      <c r="W16" s="179" t="s">
        <v>51</v>
      </c>
      <c r="X16" s="180">
        <v>1</v>
      </c>
      <c r="Y16" s="66" t="s">
        <v>271</v>
      </c>
      <c r="Z16" s="158" t="s">
        <v>618</v>
      </c>
      <c r="AA16" s="179" t="s">
        <v>311</v>
      </c>
      <c r="AB16" s="182">
        <v>5.04E-2</v>
      </c>
      <c r="AC16" s="179" t="s">
        <v>51</v>
      </c>
      <c r="AD16" s="182">
        <v>1</v>
      </c>
      <c r="AE16" s="66" t="s">
        <v>271</v>
      </c>
      <c r="AF16" s="158" t="s">
        <v>619</v>
      </c>
      <c r="AG16" s="177" t="s">
        <v>328</v>
      </c>
      <c r="AH16" s="181" t="s">
        <v>609</v>
      </c>
      <c r="AI16" s="181" t="s">
        <v>610</v>
      </c>
      <c r="AJ16" s="181" t="s">
        <v>542</v>
      </c>
      <c r="AK16" s="181" t="s">
        <v>542</v>
      </c>
      <c r="AL16" s="181" t="s">
        <v>598</v>
      </c>
      <c r="AM16" s="181" t="s">
        <v>633</v>
      </c>
      <c r="AN16" s="158" t="s">
        <v>620</v>
      </c>
      <c r="AO16" s="158" t="s">
        <v>612</v>
      </c>
      <c r="AP16" s="158" t="s">
        <v>621</v>
      </c>
      <c r="AQ16" s="159">
        <v>45266</v>
      </c>
      <c r="AR16" s="160" t="s">
        <v>343</v>
      </c>
      <c r="AS16" s="161" t="s">
        <v>611</v>
      </c>
      <c r="AT16" s="162"/>
      <c r="AU16" s="163"/>
      <c r="AV16" s="164"/>
      <c r="AW16" s="162"/>
      <c r="AX16" s="160"/>
      <c r="AY16" s="161"/>
      <c r="AZ16" s="162"/>
      <c r="BA16" s="163"/>
      <c r="BB16" s="164"/>
      <c r="BC16" s="162"/>
      <c r="BD16" s="160"/>
      <c r="BE16" s="161"/>
      <c r="BF16" s="162"/>
      <c r="BG16" s="163"/>
      <c r="BH16" s="164"/>
      <c r="BI16" s="162"/>
      <c r="BJ16" s="160"/>
      <c r="BK16" s="161"/>
      <c r="BL16" s="162"/>
      <c r="BM16" s="163"/>
      <c r="BN16" s="164"/>
      <c r="BO16" s="162"/>
      <c r="BP16" s="160"/>
      <c r="BQ16" s="161"/>
      <c r="BR16" s="162"/>
      <c r="BS16" s="163"/>
      <c r="BT16" s="164"/>
      <c r="BU16" s="162"/>
      <c r="BV16" s="160"/>
      <c r="BW16" s="161"/>
      <c r="BX16" s="162"/>
      <c r="BY16" s="163"/>
      <c r="BZ16" s="165"/>
      <c r="CA16" s="2">
        <f t="shared" si="0"/>
        <v>33</v>
      </c>
      <c r="CB16" s="51" t="s">
        <v>552</v>
      </c>
      <c r="CC16" s="51" t="s">
        <v>485</v>
      </c>
      <c r="CD16" s="51" t="s">
        <v>437</v>
      </c>
      <c r="CE16" s="51" t="s">
        <v>452</v>
      </c>
      <c r="CF16" s="51" t="s">
        <v>432</v>
      </c>
      <c r="CG16" s="51" t="s">
        <v>432</v>
      </c>
      <c r="CH16" s="51" t="s">
        <v>448</v>
      </c>
      <c r="CI16" s="51" t="s">
        <v>432</v>
      </c>
      <c r="CJ16" s="51" t="s">
        <v>452</v>
      </c>
      <c r="CK16" s="51"/>
      <c r="CL16" s="51" t="s">
        <v>452</v>
      </c>
      <c r="CM16" s="51" t="s">
        <v>457</v>
      </c>
      <c r="CN16" s="51" t="s">
        <v>452</v>
      </c>
      <c r="CO16" s="51" t="s">
        <v>452</v>
      </c>
      <c r="CP16" s="51" t="s">
        <v>452</v>
      </c>
      <c r="CQ16" s="51" t="s">
        <v>452</v>
      </c>
      <c r="CR16" s="51" t="s">
        <v>467</v>
      </c>
      <c r="CS16" s="51" t="s">
        <v>452</v>
      </c>
      <c r="CT16" s="51" t="s">
        <v>452</v>
      </c>
      <c r="CU16" s="51" t="s">
        <v>452</v>
      </c>
      <c r="CV16" s="51" t="s">
        <v>452</v>
      </c>
      <c r="CW16" s="51" t="s">
        <v>452</v>
      </c>
      <c r="CX16" s="51" t="s">
        <v>452</v>
      </c>
      <c r="CZ16" s="153" t="str">
        <f t="shared" si="1"/>
        <v>Corrupción</v>
      </c>
      <c r="DA16" s="200" t="str">
        <f t="shared" si="2"/>
        <v xml:space="preserve">Posibilidad de afectación reputacional por pérdida de la confianza ciudadana en la gestión contractual de la Entidad, debido a decisiones ajustadas a intereses propios o de terceros durante la etapa precontractual con el fin de celebrar un contrato </v>
      </c>
      <c r="DB16" s="200"/>
      <c r="DC16" s="200"/>
      <c r="DD16" s="200"/>
      <c r="DE16" s="200"/>
      <c r="DF16" s="200"/>
      <c r="DG16" s="200"/>
      <c r="DH16" s="153" t="str">
        <f t="shared" si="3"/>
        <v>Extremo</v>
      </c>
      <c r="DI16" s="153" t="str">
        <f t="shared" si="4"/>
        <v>Extremo</v>
      </c>
      <c r="DK16" s="149" t="e">
        <f>SUM(LEN(#REF!)-LEN(SUBSTITUTE(#REF!,"- Preventivo","")))/LEN("- Preventivo")</f>
        <v>#REF!</v>
      </c>
      <c r="DL16" s="149" t="e">
        <f t="shared" si="5"/>
        <v>#REF!</v>
      </c>
      <c r="DM16" s="149" t="e">
        <f>SUM(LEN(#REF!)-LEN(SUBSTITUTE(#REF!,"- Detectivo","")))/LEN("- Detectivo")</f>
        <v>#REF!</v>
      </c>
      <c r="DN16" s="149" t="e">
        <f t="shared" si="6"/>
        <v>#REF!</v>
      </c>
      <c r="DO16" s="149" t="e">
        <f>SUM(LEN(#REF!)-LEN(SUBSTITUTE(#REF!,"- Correctivo","")))/LEN("- Correctivo")</f>
        <v>#REF!</v>
      </c>
      <c r="DP16" s="149" t="e">
        <f t="shared" si="7"/>
        <v>#REF!</v>
      </c>
      <c r="DQ16" s="149" t="e">
        <f t="shared" si="8"/>
        <v>#REF!</v>
      </c>
      <c r="DR16" s="149" t="e">
        <f t="shared" si="9"/>
        <v>#REF!</v>
      </c>
      <c r="DS16" s="149" t="e">
        <f>SUM(LEN(#REF!)-LEN(SUBSTITUTE(#REF!,"- Documentado","")))/LEN("- Documentado")</f>
        <v>#REF!</v>
      </c>
      <c r="DT16" s="149" t="e">
        <f>SUM(LEN(#REF!)-LEN(SUBSTITUTE(#REF!,"- Documentado","")))/LEN("- Documentado")</f>
        <v>#REF!</v>
      </c>
      <c r="DU16" s="149" t="e">
        <f t="shared" si="10"/>
        <v>#REF!</v>
      </c>
      <c r="DV16" s="149" t="e">
        <f>SUM(LEN(#REF!)-LEN(SUBSTITUTE(#REF!,"- Continua","")))/LEN("- Continua")</f>
        <v>#REF!</v>
      </c>
      <c r="DW16" s="149" t="e">
        <f>SUM(LEN(#REF!)-LEN(SUBSTITUTE(#REF!,"- Continua","")))/LEN("- Continua")</f>
        <v>#REF!</v>
      </c>
      <c r="DX16" s="149" t="e">
        <f t="shared" si="11"/>
        <v>#REF!</v>
      </c>
      <c r="DY16" s="149" t="e">
        <f>SUM(LEN(#REF!)-LEN(SUBSTITUTE(#REF!,"- Con registro","")))/LEN("- Con registro")</f>
        <v>#REF!</v>
      </c>
      <c r="DZ16" s="149" t="e">
        <f>SUM(LEN(#REF!)-LEN(SUBSTITUTE(#REF!,"- Con registro","")))/LEN("- Con registro")</f>
        <v>#REF!</v>
      </c>
      <c r="EA16" s="149" t="e">
        <f t="shared" si="12"/>
        <v>#REF!</v>
      </c>
      <c r="EB16" s="152" t="e">
        <f t="shared" si="13"/>
        <v>#REF!</v>
      </c>
      <c r="EC16" s="152" t="e">
        <f t="shared" si="14"/>
        <v>#REF!</v>
      </c>
      <c r="ED16" s="184" t="e">
        <f t="shared" si="15"/>
        <v>#REF!</v>
      </c>
      <c r="EE16" s="198" t="e">
        <f t="shared" si="16"/>
        <v>#REF!</v>
      </c>
      <c r="EF16" s="198"/>
      <c r="EG16" s="198"/>
      <c r="EH16" s="198"/>
      <c r="EI16" s="198"/>
      <c r="EJ16" s="198"/>
      <c r="EK16" s="198"/>
      <c r="EL16" s="198"/>
      <c r="EM16" s="198"/>
      <c r="EN16" s="198"/>
      <c r="EP16" s="172">
        <f t="shared" si="17"/>
        <v>45266</v>
      </c>
      <c r="EQ16" s="173">
        <f t="shared" si="18"/>
        <v>45320</v>
      </c>
      <c r="ER16" s="149" t="str">
        <f t="shared" si="19"/>
        <v>Riesgos</v>
      </c>
      <c r="ES16" s="149" t="str">
        <f t="shared" si="20"/>
        <v xml:space="preserve">ID_-: Posibilidad de afectación reputacional por pérdida de la confianza ciudadana en la gestión contractual de la Entidad, debido a decisiones ajustadas a intereses propios o de terceros durante la etapa precontractual con el fin de celebrar un contrato </v>
      </c>
      <c r="ET16" s="149" t="str">
        <f t="shared" si="21"/>
        <v>Ajuste en 
Análisis antes de controles
Tratamiento del riesgo en el Mapa de riesgos de Gestión de Contratación</v>
      </c>
      <c r="EU16" s="149" t="str">
        <f t="shared" si="22"/>
        <v>Solicitud de cambio realizada y aprobada por la Dirección de Contratación a través del Aplicativo DARUMA</v>
      </c>
    </row>
    <row r="17" spans="1:151" ht="399.95" customHeight="1" x14ac:dyDescent="0.2">
      <c r="A17" s="177" t="s">
        <v>397</v>
      </c>
      <c r="B17" s="158" t="s">
        <v>605</v>
      </c>
      <c r="C17" s="158" t="s">
        <v>606</v>
      </c>
      <c r="D17" s="177" t="s">
        <v>125</v>
      </c>
      <c r="E17" s="178" t="s">
        <v>398</v>
      </c>
      <c r="F17" s="158" t="s">
        <v>399</v>
      </c>
      <c r="G17" s="178" t="s">
        <v>542</v>
      </c>
      <c r="H17" s="178" t="s">
        <v>542</v>
      </c>
      <c r="I17" s="154" t="s">
        <v>622</v>
      </c>
      <c r="J17" s="177" t="s">
        <v>63</v>
      </c>
      <c r="K17" s="178" t="s">
        <v>326</v>
      </c>
      <c r="L17" s="158" t="s">
        <v>256</v>
      </c>
      <c r="M17" s="164" t="s">
        <v>337</v>
      </c>
      <c r="N17" s="158" t="s">
        <v>334</v>
      </c>
      <c r="O17" s="158" t="s">
        <v>338</v>
      </c>
      <c r="P17" s="158" t="s">
        <v>330</v>
      </c>
      <c r="Q17" s="158" t="s">
        <v>325</v>
      </c>
      <c r="R17" s="158" t="s">
        <v>331</v>
      </c>
      <c r="S17" s="158" t="s">
        <v>426</v>
      </c>
      <c r="T17" s="158" t="s">
        <v>561</v>
      </c>
      <c r="U17" s="179" t="s">
        <v>311</v>
      </c>
      <c r="V17" s="180">
        <v>0.2</v>
      </c>
      <c r="W17" s="179" t="s">
        <v>51</v>
      </c>
      <c r="X17" s="180">
        <v>1</v>
      </c>
      <c r="Y17" s="66" t="s">
        <v>271</v>
      </c>
      <c r="Z17" s="158" t="s">
        <v>618</v>
      </c>
      <c r="AA17" s="179" t="s">
        <v>311</v>
      </c>
      <c r="AB17" s="182">
        <v>8.3999999999999991E-2</v>
      </c>
      <c r="AC17" s="179" t="s">
        <v>51</v>
      </c>
      <c r="AD17" s="182">
        <v>1</v>
      </c>
      <c r="AE17" s="66" t="s">
        <v>271</v>
      </c>
      <c r="AF17" s="158" t="s">
        <v>619</v>
      </c>
      <c r="AG17" s="177" t="s">
        <v>328</v>
      </c>
      <c r="AH17" s="181" t="s">
        <v>613</v>
      </c>
      <c r="AI17" s="181" t="s">
        <v>614</v>
      </c>
      <c r="AJ17" s="158" t="s">
        <v>542</v>
      </c>
      <c r="AK17" s="181" t="s">
        <v>542</v>
      </c>
      <c r="AL17" s="181" t="s">
        <v>615</v>
      </c>
      <c r="AM17" s="181" t="s">
        <v>616</v>
      </c>
      <c r="AN17" s="158" t="s">
        <v>623</v>
      </c>
      <c r="AO17" s="158" t="s">
        <v>612</v>
      </c>
      <c r="AP17" s="158" t="s">
        <v>624</v>
      </c>
      <c r="AQ17" s="159">
        <v>45266</v>
      </c>
      <c r="AR17" s="160" t="s">
        <v>343</v>
      </c>
      <c r="AS17" s="161" t="s">
        <v>611</v>
      </c>
      <c r="AT17" s="162"/>
      <c r="AU17" s="163"/>
      <c r="AV17" s="164"/>
      <c r="AW17" s="162"/>
      <c r="AX17" s="160"/>
      <c r="AY17" s="161"/>
      <c r="AZ17" s="162"/>
      <c r="BA17" s="163"/>
      <c r="BB17" s="164"/>
      <c r="BC17" s="162"/>
      <c r="BD17" s="160"/>
      <c r="BE17" s="161"/>
      <c r="BF17" s="162"/>
      <c r="BG17" s="163"/>
      <c r="BH17" s="164"/>
      <c r="BI17" s="162"/>
      <c r="BJ17" s="160"/>
      <c r="BK17" s="161"/>
      <c r="BL17" s="162"/>
      <c r="BM17" s="163"/>
      <c r="BN17" s="164"/>
      <c r="BO17" s="162"/>
      <c r="BP17" s="160"/>
      <c r="BQ17" s="161"/>
      <c r="BR17" s="162"/>
      <c r="BS17" s="163"/>
      <c r="BT17" s="164"/>
      <c r="BU17" s="162"/>
      <c r="BV17" s="160"/>
      <c r="BW17" s="161"/>
      <c r="BX17" s="162"/>
      <c r="BY17" s="163"/>
      <c r="BZ17" s="165"/>
      <c r="CA17" s="2">
        <f t="shared" si="0"/>
        <v>33</v>
      </c>
      <c r="CB17" s="51" t="s">
        <v>552</v>
      </c>
      <c r="CC17" s="51" t="s">
        <v>485</v>
      </c>
      <c r="CD17" s="51" t="s">
        <v>437</v>
      </c>
      <c r="CE17" s="51" t="s">
        <v>452</v>
      </c>
      <c r="CF17" s="51" t="s">
        <v>432</v>
      </c>
      <c r="CG17" s="51" t="s">
        <v>432</v>
      </c>
      <c r="CH17" s="51" t="s">
        <v>448</v>
      </c>
      <c r="CI17" s="51" t="s">
        <v>432</v>
      </c>
      <c r="CJ17" s="51" t="s">
        <v>452</v>
      </c>
      <c r="CK17" s="51"/>
      <c r="CL17" s="51" t="s">
        <v>452</v>
      </c>
      <c r="CM17" s="51" t="s">
        <v>457</v>
      </c>
      <c r="CN17" s="51" t="s">
        <v>452</v>
      </c>
      <c r="CO17" s="51" t="s">
        <v>452</v>
      </c>
      <c r="CP17" s="51" t="s">
        <v>452</v>
      </c>
      <c r="CQ17" s="51" t="s">
        <v>452</v>
      </c>
      <c r="CR17" s="51" t="s">
        <v>466</v>
      </c>
      <c r="CS17" s="51" t="s">
        <v>452</v>
      </c>
      <c r="CT17" s="51" t="s">
        <v>452</v>
      </c>
      <c r="CU17" s="51" t="s">
        <v>452</v>
      </c>
      <c r="CV17" s="51" t="s">
        <v>452</v>
      </c>
      <c r="CW17" s="51" t="s">
        <v>452</v>
      </c>
      <c r="CX17" s="51" t="s">
        <v>452</v>
      </c>
      <c r="CZ17" s="153" t="str">
        <f t="shared" si="1"/>
        <v>Corrupción</v>
      </c>
      <c r="DA17" s="200" t="str">
        <f t="shared" si="2"/>
        <v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DB17" s="200"/>
      <c r="DC17" s="200"/>
      <c r="DD17" s="200"/>
      <c r="DE17" s="200"/>
      <c r="DF17" s="200"/>
      <c r="DG17" s="200"/>
      <c r="DH17" s="153" t="str">
        <f t="shared" si="3"/>
        <v>Extremo</v>
      </c>
      <c r="DI17" s="153" t="str">
        <f t="shared" si="4"/>
        <v>Extremo</v>
      </c>
      <c r="DK17" s="149" t="e">
        <f>SUM(LEN(#REF!)-LEN(SUBSTITUTE(#REF!,"- Preventivo","")))/LEN("- Preventivo")</f>
        <v>#REF!</v>
      </c>
      <c r="DL17" s="149" t="e">
        <f t="shared" si="5"/>
        <v>#REF!</v>
      </c>
      <c r="DM17" s="149" t="e">
        <f>SUM(LEN(#REF!)-LEN(SUBSTITUTE(#REF!,"- Detectivo","")))/LEN("- Detectivo")</f>
        <v>#REF!</v>
      </c>
      <c r="DN17" s="149" t="e">
        <f t="shared" si="6"/>
        <v>#REF!</v>
      </c>
      <c r="DO17" s="149" t="e">
        <f>SUM(LEN(#REF!)-LEN(SUBSTITUTE(#REF!,"- Correctivo","")))/LEN("- Correctivo")</f>
        <v>#REF!</v>
      </c>
      <c r="DP17" s="149" t="e">
        <f t="shared" si="7"/>
        <v>#REF!</v>
      </c>
      <c r="DQ17" s="149" t="e">
        <f t="shared" si="8"/>
        <v>#REF!</v>
      </c>
      <c r="DR17" s="149" t="e">
        <f t="shared" si="9"/>
        <v>#REF!</v>
      </c>
      <c r="DS17" s="149" t="e">
        <f>SUM(LEN(#REF!)-LEN(SUBSTITUTE(#REF!,"- Documentado","")))/LEN("- Documentado")</f>
        <v>#REF!</v>
      </c>
      <c r="DT17" s="149" t="e">
        <f>SUM(LEN(#REF!)-LEN(SUBSTITUTE(#REF!,"- Documentado","")))/LEN("- Documentado")</f>
        <v>#REF!</v>
      </c>
      <c r="DU17" s="149" t="e">
        <f t="shared" si="10"/>
        <v>#REF!</v>
      </c>
      <c r="DV17" s="149" t="e">
        <f>SUM(LEN(#REF!)-LEN(SUBSTITUTE(#REF!,"- Continua","")))/LEN("- Continua")</f>
        <v>#REF!</v>
      </c>
      <c r="DW17" s="149" t="e">
        <f>SUM(LEN(#REF!)-LEN(SUBSTITUTE(#REF!,"- Continua","")))/LEN("- Continua")</f>
        <v>#REF!</v>
      </c>
      <c r="DX17" s="149" t="e">
        <f t="shared" si="11"/>
        <v>#REF!</v>
      </c>
      <c r="DY17" s="149" t="e">
        <f>SUM(LEN(#REF!)-LEN(SUBSTITUTE(#REF!,"- Con registro","")))/LEN("- Con registro")</f>
        <v>#REF!</v>
      </c>
      <c r="DZ17" s="149" t="e">
        <f>SUM(LEN(#REF!)-LEN(SUBSTITUTE(#REF!,"- Con registro","")))/LEN("- Con registro")</f>
        <v>#REF!</v>
      </c>
      <c r="EA17" s="149" t="e">
        <f t="shared" si="12"/>
        <v>#REF!</v>
      </c>
      <c r="EB17" s="152" t="e">
        <f t="shared" si="13"/>
        <v>#REF!</v>
      </c>
      <c r="EC17" s="152" t="e">
        <f t="shared" si="14"/>
        <v>#REF!</v>
      </c>
      <c r="ED17" s="184" t="e">
        <f t="shared" si="15"/>
        <v>#REF!</v>
      </c>
      <c r="EE17" s="198" t="e">
        <f t="shared" si="16"/>
        <v>#REF!</v>
      </c>
      <c r="EF17" s="198"/>
      <c r="EG17" s="198"/>
      <c r="EH17" s="198"/>
      <c r="EI17" s="198"/>
      <c r="EJ17" s="198"/>
      <c r="EK17" s="198"/>
      <c r="EL17" s="198"/>
      <c r="EM17" s="198"/>
      <c r="EN17" s="198"/>
      <c r="EP17" s="172">
        <f t="shared" si="17"/>
        <v>45266</v>
      </c>
      <c r="EQ17" s="173">
        <f t="shared" si="18"/>
        <v>45320</v>
      </c>
      <c r="ER17" s="149" t="str">
        <f t="shared" si="19"/>
        <v>Riesgos</v>
      </c>
      <c r="ES17" s="149" t="str">
        <f t="shared" si="20"/>
        <v xml:space="preserve">ID_-: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ET17" s="149" t="str">
        <f t="shared" si="21"/>
        <v>Ajuste en 
Análisis antes de controles
Tratamiento del riesgo en el Mapa de riesgos de Gestión de Contratación</v>
      </c>
      <c r="EU17" s="149" t="str">
        <f t="shared" si="22"/>
        <v>Solicitud de cambio realizada y aprobada por la Dirección de Contratación a través del Aplicativo DARUMA</v>
      </c>
    </row>
    <row r="18" spans="1:151" ht="399.95" customHeight="1" x14ac:dyDescent="0.2">
      <c r="A18" s="177" t="s">
        <v>190</v>
      </c>
      <c r="B18" s="158" t="s">
        <v>625</v>
      </c>
      <c r="C18" s="158" t="s">
        <v>400</v>
      </c>
      <c r="D18" s="177" t="s">
        <v>626</v>
      </c>
      <c r="E18" s="178" t="s">
        <v>398</v>
      </c>
      <c r="F18" s="158" t="s">
        <v>629</v>
      </c>
      <c r="G18" s="178" t="s">
        <v>542</v>
      </c>
      <c r="H18" s="178" t="s">
        <v>542</v>
      </c>
      <c r="I18" s="154" t="s">
        <v>348</v>
      </c>
      <c r="J18" s="177" t="s">
        <v>63</v>
      </c>
      <c r="K18" s="178" t="s">
        <v>326</v>
      </c>
      <c r="L18" s="158" t="s">
        <v>258</v>
      </c>
      <c r="M18" s="164" t="s">
        <v>349</v>
      </c>
      <c r="N18" s="158" t="s">
        <v>350</v>
      </c>
      <c r="O18" s="158" t="s">
        <v>351</v>
      </c>
      <c r="P18" s="158" t="s">
        <v>330</v>
      </c>
      <c r="Q18" s="158" t="s">
        <v>325</v>
      </c>
      <c r="R18" s="158" t="s">
        <v>327</v>
      </c>
      <c r="S18" s="158" t="s">
        <v>426</v>
      </c>
      <c r="T18" s="158" t="s">
        <v>561</v>
      </c>
      <c r="U18" s="179" t="s">
        <v>311</v>
      </c>
      <c r="V18" s="180">
        <v>0.2</v>
      </c>
      <c r="W18" s="179" t="s">
        <v>77</v>
      </c>
      <c r="X18" s="180">
        <v>0.8</v>
      </c>
      <c r="Y18" s="66" t="s">
        <v>270</v>
      </c>
      <c r="Z18" s="158" t="s">
        <v>340</v>
      </c>
      <c r="AA18" s="179" t="s">
        <v>311</v>
      </c>
      <c r="AB18" s="182">
        <v>1.48176E-2</v>
      </c>
      <c r="AC18" s="179" t="s">
        <v>77</v>
      </c>
      <c r="AD18" s="182">
        <v>0.8</v>
      </c>
      <c r="AE18" s="66" t="s">
        <v>270</v>
      </c>
      <c r="AF18" s="158" t="s">
        <v>630</v>
      </c>
      <c r="AG18" s="177" t="s">
        <v>328</v>
      </c>
      <c r="AH18" s="181" t="s">
        <v>631</v>
      </c>
      <c r="AI18" s="181" t="s">
        <v>632</v>
      </c>
      <c r="AJ18" s="158" t="s">
        <v>542</v>
      </c>
      <c r="AK18" s="181" t="s">
        <v>542</v>
      </c>
      <c r="AL18" s="181" t="s">
        <v>598</v>
      </c>
      <c r="AM18" s="181" t="s">
        <v>633</v>
      </c>
      <c r="AN18" s="158" t="s">
        <v>634</v>
      </c>
      <c r="AO18" s="158" t="s">
        <v>628</v>
      </c>
      <c r="AP18" s="158" t="s">
        <v>635</v>
      </c>
      <c r="AQ18" s="159">
        <v>45267</v>
      </c>
      <c r="AR18" s="160" t="s">
        <v>343</v>
      </c>
      <c r="AS18" s="161" t="s">
        <v>636</v>
      </c>
      <c r="AT18" s="162"/>
      <c r="AU18" s="163"/>
      <c r="AV18" s="164"/>
      <c r="AW18" s="162"/>
      <c r="AX18" s="160"/>
      <c r="AY18" s="161"/>
      <c r="AZ18" s="162"/>
      <c r="BA18" s="163"/>
      <c r="BB18" s="164"/>
      <c r="BC18" s="162"/>
      <c r="BD18" s="160"/>
      <c r="BE18" s="161"/>
      <c r="BF18" s="162"/>
      <c r="BG18" s="163"/>
      <c r="BH18" s="164"/>
      <c r="BI18" s="162"/>
      <c r="BJ18" s="160"/>
      <c r="BK18" s="161"/>
      <c r="BL18" s="162"/>
      <c r="BM18" s="163"/>
      <c r="BN18" s="164"/>
      <c r="BO18" s="162"/>
      <c r="BP18" s="160"/>
      <c r="BQ18" s="161"/>
      <c r="BR18" s="162"/>
      <c r="BS18" s="163"/>
      <c r="BT18" s="164"/>
      <c r="BU18" s="162"/>
      <c r="BV18" s="160"/>
      <c r="BW18" s="161"/>
      <c r="BX18" s="162"/>
      <c r="BY18" s="163"/>
      <c r="BZ18" s="165"/>
      <c r="CA18" s="2">
        <f t="shared" si="0"/>
        <v>33</v>
      </c>
      <c r="CB18" s="51"/>
      <c r="CC18" s="51" t="s">
        <v>553</v>
      </c>
      <c r="CD18" s="51" t="s">
        <v>438</v>
      </c>
      <c r="CE18" s="51" t="s">
        <v>434</v>
      </c>
      <c r="CF18" s="51" t="s">
        <v>432</v>
      </c>
      <c r="CG18" s="51" t="s">
        <v>432</v>
      </c>
      <c r="CH18" s="51" t="s">
        <v>448</v>
      </c>
      <c r="CI18" s="51" t="s">
        <v>432</v>
      </c>
      <c r="CJ18" s="51" t="s">
        <v>452</v>
      </c>
      <c r="CK18" s="51"/>
      <c r="CL18" s="51" t="s">
        <v>452</v>
      </c>
      <c r="CM18" s="51" t="s">
        <v>457</v>
      </c>
      <c r="CN18" s="51" t="s">
        <v>452</v>
      </c>
      <c r="CO18" s="51" t="s">
        <v>452</v>
      </c>
      <c r="CP18" s="51" t="s">
        <v>452</v>
      </c>
      <c r="CQ18" s="51" t="s">
        <v>452</v>
      </c>
      <c r="CR18" s="51" t="s">
        <v>468</v>
      </c>
      <c r="CS18" s="51" t="s">
        <v>452</v>
      </c>
      <c r="CT18" s="51" t="s">
        <v>452</v>
      </c>
      <c r="CU18" s="51" t="s">
        <v>452</v>
      </c>
      <c r="CV18" s="51" t="s">
        <v>452</v>
      </c>
      <c r="CW18" s="51" t="s">
        <v>452</v>
      </c>
      <c r="CX18" s="51" t="s">
        <v>452</v>
      </c>
      <c r="CZ18" s="153" t="str">
        <f t="shared" si="1"/>
        <v>Corrupción</v>
      </c>
      <c r="DA18" s="200" t="str">
        <f t="shared" si="2"/>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B18" s="200"/>
      <c r="DC18" s="200"/>
      <c r="DD18" s="200"/>
      <c r="DE18" s="200"/>
      <c r="DF18" s="200"/>
      <c r="DG18" s="200"/>
      <c r="DH18" s="153" t="str">
        <f t="shared" si="3"/>
        <v>Alto</v>
      </c>
      <c r="DI18" s="153" t="str">
        <f t="shared" si="4"/>
        <v>Alto</v>
      </c>
      <c r="DK18" s="149" t="e">
        <f>SUM(LEN(#REF!)-LEN(SUBSTITUTE(#REF!,"- Preventivo","")))/LEN("- Preventivo")</f>
        <v>#REF!</v>
      </c>
      <c r="DL18" s="149" t="e">
        <f t="shared" si="5"/>
        <v>#REF!</v>
      </c>
      <c r="DM18" s="149" t="e">
        <f>SUM(LEN(#REF!)-LEN(SUBSTITUTE(#REF!,"- Detectivo","")))/LEN("- Detectivo")</f>
        <v>#REF!</v>
      </c>
      <c r="DN18" s="149" t="e">
        <f t="shared" si="6"/>
        <v>#REF!</v>
      </c>
      <c r="DO18" s="149" t="e">
        <f>SUM(LEN(#REF!)-LEN(SUBSTITUTE(#REF!,"- Correctivo","")))/LEN("- Correctivo")</f>
        <v>#REF!</v>
      </c>
      <c r="DP18" s="149" t="e">
        <f t="shared" si="7"/>
        <v>#REF!</v>
      </c>
      <c r="DQ18" s="149" t="e">
        <f t="shared" si="8"/>
        <v>#REF!</v>
      </c>
      <c r="DR18" s="149" t="e">
        <f t="shared" si="9"/>
        <v>#REF!</v>
      </c>
      <c r="DS18" s="149" t="e">
        <f>SUM(LEN(#REF!)-LEN(SUBSTITUTE(#REF!,"- Documentado","")))/LEN("- Documentado")</f>
        <v>#REF!</v>
      </c>
      <c r="DT18" s="149" t="e">
        <f>SUM(LEN(#REF!)-LEN(SUBSTITUTE(#REF!,"- Documentado","")))/LEN("- Documentado")</f>
        <v>#REF!</v>
      </c>
      <c r="DU18" s="149" t="e">
        <f t="shared" si="10"/>
        <v>#REF!</v>
      </c>
      <c r="DV18" s="149" t="e">
        <f>SUM(LEN(#REF!)-LEN(SUBSTITUTE(#REF!,"- Continua","")))/LEN("- Continua")</f>
        <v>#REF!</v>
      </c>
      <c r="DW18" s="149" t="e">
        <f>SUM(LEN(#REF!)-LEN(SUBSTITUTE(#REF!,"- Continua","")))/LEN("- Continua")</f>
        <v>#REF!</v>
      </c>
      <c r="DX18" s="149" t="e">
        <f t="shared" si="11"/>
        <v>#REF!</v>
      </c>
      <c r="DY18" s="149" t="e">
        <f>SUM(LEN(#REF!)-LEN(SUBSTITUTE(#REF!,"- Con registro","")))/LEN("- Con registro")</f>
        <v>#REF!</v>
      </c>
      <c r="DZ18" s="149" t="e">
        <f>SUM(LEN(#REF!)-LEN(SUBSTITUTE(#REF!,"- Con registro","")))/LEN("- Con registro")</f>
        <v>#REF!</v>
      </c>
      <c r="EA18" s="149" t="e">
        <f t="shared" si="12"/>
        <v>#REF!</v>
      </c>
      <c r="EB18" s="152" t="e">
        <f t="shared" si="13"/>
        <v>#REF!</v>
      </c>
      <c r="EC18" s="152" t="e">
        <f t="shared" si="14"/>
        <v>#REF!</v>
      </c>
      <c r="ED18" s="184" t="e">
        <f t="shared" si="15"/>
        <v>#REF!</v>
      </c>
      <c r="EE18" s="198" t="e">
        <f t="shared" si="16"/>
        <v>#REF!</v>
      </c>
      <c r="EF18" s="198"/>
      <c r="EG18" s="198"/>
      <c r="EH18" s="198"/>
      <c r="EI18" s="198"/>
      <c r="EJ18" s="198"/>
      <c r="EK18" s="198"/>
      <c r="EL18" s="198"/>
      <c r="EM18" s="198"/>
      <c r="EN18" s="198"/>
      <c r="EP18" s="172">
        <f t="shared" si="17"/>
        <v>45267</v>
      </c>
      <c r="EQ18" s="173">
        <f t="shared" si="18"/>
        <v>45320</v>
      </c>
      <c r="ER18" s="149" t="str">
        <f t="shared" si="19"/>
        <v>Riesgos</v>
      </c>
      <c r="ES18" s="149" t="str">
        <f t="shared" si="20"/>
        <v>ID_-: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ET18" s="149" t="str">
        <f t="shared" si="21"/>
        <v>Ajuste en 
Análisis antes de controles
Tratamiento del riesgo en el Mapa de riesgos de Gestión de Recursos Físicos</v>
      </c>
      <c r="EU18" s="149" t="str">
        <f t="shared" si="22"/>
        <v>Solicitud de cambio realizada y aprobada por la Subdirección de Servicios Administrativos a través del Aplicativo DARUMA</v>
      </c>
    </row>
    <row r="19" spans="1:151" ht="399.95" customHeight="1" x14ac:dyDescent="0.2">
      <c r="A19" s="177" t="s">
        <v>190</v>
      </c>
      <c r="B19" s="158" t="s">
        <v>625</v>
      </c>
      <c r="C19" s="158" t="s">
        <v>400</v>
      </c>
      <c r="D19" s="177" t="s">
        <v>626</v>
      </c>
      <c r="E19" s="178" t="s">
        <v>398</v>
      </c>
      <c r="F19" s="158" t="s">
        <v>637</v>
      </c>
      <c r="G19" s="178" t="s">
        <v>542</v>
      </c>
      <c r="H19" s="178" t="s">
        <v>542</v>
      </c>
      <c r="I19" s="154" t="s">
        <v>638</v>
      </c>
      <c r="J19" s="177" t="s">
        <v>63</v>
      </c>
      <c r="K19" s="178" t="s">
        <v>326</v>
      </c>
      <c r="L19" s="158" t="s">
        <v>258</v>
      </c>
      <c r="M19" s="164" t="s">
        <v>349</v>
      </c>
      <c r="N19" s="158" t="s">
        <v>350</v>
      </c>
      <c r="O19" s="158" t="s">
        <v>352</v>
      </c>
      <c r="P19" s="158" t="s">
        <v>330</v>
      </c>
      <c r="Q19" s="158" t="s">
        <v>325</v>
      </c>
      <c r="R19" s="158" t="s">
        <v>627</v>
      </c>
      <c r="S19" s="158" t="s">
        <v>426</v>
      </c>
      <c r="T19" s="158" t="s">
        <v>561</v>
      </c>
      <c r="U19" s="179" t="s">
        <v>311</v>
      </c>
      <c r="V19" s="180">
        <v>0.2</v>
      </c>
      <c r="W19" s="179" t="s">
        <v>77</v>
      </c>
      <c r="X19" s="180">
        <v>0.8</v>
      </c>
      <c r="Y19" s="66" t="s">
        <v>270</v>
      </c>
      <c r="Z19" s="158" t="s">
        <v>340</v>
      </c>
      <c r="AA19" s="179" t="s">
        <v>311</v>
      </c>
      <c r="AB19" s="182">
        <v>2.1167999999999999E-2</v>
      </c>
      <c r="AC19" s="179" t="s">
        <v>77</v>
      </c>
      <c r="AD19" s="182">
        <v>0.8</v>
      </c>
      <c r="AE19" s="66" t="s">
        <v>270</v>
      </c>
      <c r="AF19" s="158" t="s">
        <v>341</v>
      </c>
      <c r="AG19" s="177" t="s">
        <v>328</v>
      </c>
      <c r="AH19" s="181" t="s">
        <v>639</v>
      </c>
      <c r="AI19" s="181" t="s">
        <v>632</v>
      </c>
      <c r="AJ19" s="181" t="s">
        <v>542</v>
      </c>
      <c r="AK19" s="181" t="s">
        <v>542</v>
      </c>
      <c r="AL19" s="181" t="s">
        <v>598</v>
      </c>
      <c r="AM19" s="181" t="s">
        <v>633</v>
      </c>
      <c r="AN19" s="158" t="s">
        <v>640</v>
      </c>
      <c r="AO19" s="158" t="s">
        <v>641</v>
      </c>
      <c r="AP19" s="158" t="s">
        <v>642</v>
      </c>
      <c r="AQ19" s="159">
        <v>45267</v>
      </c>
      <c r="AR19" s="160" t="s">
        <v>343</v>
      </c>
      <c r="AS19" s="161" t="s">
        <v>636</v>
      </c>
      <c r="AT19" s="162"/>
      <c r="AU19" s="163"/>
      <c r="AV19" s="164"/>
      <c r="AW19" s="162"/>
      <c r="AX19" s="160"/>
      <c r="AY19" s="161"/>
      <c r="AZ19" s="162"/>
      <c r="BA19" s="163"/>
      <c r="BB19" s="164"/>
      <c r="BC19" s="162"/>
      <c r="BD19" s="160"/>
      <c r="BE19" s="161"/>
      <c r="BF19" s="162"/>
      <c r="BG19" s="163"/>
      <c r="BH19" s="164"/>
      <c r="BI19" s="162"/>
      <c r="BJ19" s="160"/>
      <c r="BK19" s="161"/>
      <c r="BL19" s="162"/>
      <c r="BM19" s="163"/>
      <c r="BN19" s="164"/>
      <c r="BO19" s="162"/>
      <c r="BP19" s="160"/>
      <c r="BQ19" s="161"/>
      <c r="BR19" s="162"/>
      <c r="BS19" s="163"/>
      <c r="BT19" s="164"/>
      <c r="BU19" s="162"/>
      <c r="BV19" s="160"/>
      <c r="BW19" s="161"/>
      <c r="BX19" s="162"/>
      <c r="BY19" s="163"/>
      <c r="BZ19" s="165"/>
      <c r="CA19" s="2">
        <f t="shared" si="0"/>
        <v>33</v>
      </c>
      <c r="CB19" s="51"/>
      <c r="CC19" s="51" t="s">
        <v>553</v>
      </c>
      <c r="CD19" s="51" t="s">
        <v>438</v>
      </c>
      <c r="CE19" s="51" t="s">
        <v>434</v>
      </c>
      <c r="CF19" s="51" t="s">
        <v>432</v>
      </c>
      <c r="CG19" s="51" t="s">
        <v>432</v>
      </c>
      <c r="CH19" s="51" t="s">
        <v>448</v>
      </c>
      <c r="CI19" s="51" t="s">
        <v>432</v>
      </c>
      <c r="CJ19" s="51" t="s">
        <v>452</v>
      </c>
      <c r="CK19" s="51"/>
      <c r="CL19" s="51" t="s">
        <v>452</v>
      </c>
      <c r="CM19" s="51" t="s">
        <v>457</v>
      </c>
      <c r="CN19" s="51" t="s">
        <v>452</v>
      </c>
      <c r="CO19" s="51" t="s">
        <v>452</v>
      </c>
      <c r="CP19" s="51" t="s">
        <v>452</v>
      </c>
      <c r="CQ19" s="51" t="s">
        <v>452</v>
      </c>
      <c r="CR19" s="51" t="s">
        <v>468</v>
      </c>
      <c r="CS19" s="51" t="s">
        <v>452</v>
      </c>
      <c r="CT19" s="51" t="s">
        <v>452</v>
      </c>
      <c r="CU19" s="51" t="s">
        <v>452</v>
      </c>
      <c r="CV19" s="51" t="s">
        <v>452</v>
      </c>
      <c r="CW19" s="51" t="s">
        <v>452</v>
      </c>
      <c r="CX19" s="51" t="s">
        <v>452</v>
      </c>
      <c r="CZ19" s="153" t="str">
        <f t="shared" si="1"/>
        <v>Corrupción</v>
      </c>
      <c r="DA19" s="200" t="str">
        <f t="shared" si="2"/>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B19" s="200"/>
      <c r="DC19" s="200"/>
      <c r="DD19" s="200"/>
      <c r="DE19" s="200"/>
      <c r="DF19" s="200"/>
      <c r="DG19" s="200"/>
      <c r="DH19" s="153" t="str">
        <f t="shared" si="3"/>
        <v>Alto</v>
      </c>
      <c r="DI19" s="153" t="str">
        <f t="shared" si="4"/>
        <v>Alto</v>
      </c>
      <c r="DK19" s="149" t="e">
        <f>SUM(LEN(#REF!)-LEN(SUBSTITUTE(#REF!,"- Preventivo","")))/LEN("- Preventivo")</f>
        <v>#REF!</v>
      </c>
      <c r="DL19" s="149" t="e">
        <f t="shared" si="5"/>
        <v>#REF!</v>
      </c>
      <c r="DM19" s="149" t="e">
        <f>SUM(LEN(#REF!)-LEN(SUBSTITUTE(#REF!,"- Detectivo","")))/LEN("- Detectivo")</f>
        <v>#REF!</v>
      </c>
      <c r="DN19" s="149" t="e">
        <f t="shared" si="6"/>
        <v>#REF!</v>
      </c>
      <c r="DO19" s="149" t="e">
        <f>SUM(LEN(#REF!)-LEN(SUBSTITUTE(#REF!,"- Correctivo","")))/LEN("- Correctivo")</f>
        <v>#REF!</v>
      </c>
      <c r="DP19" s="149" t="e">
        <f t="shared" si="7"/>
        <v>#REF!</v>
      </c>
      <c r="DQ19" s="149" t="e">
        <f t="shared" si="8"/>
        <v>#REF!</v>
      </c>
      <c r="DR19" s="149" t="e">
        <f t="shared" si="9"/>
        <v>#REF!</v>
      </c>
      <c r="DS19" s="149" t="e">
        <f>SUM(LEN(#REF!)-LEN(SUBSTITUTE(#REF!,"- Documentado","")))/LEN("- Documentado")</f>
        <v>#REF!</v>
      </c>
      <c r="DT19" s="149" t="e">
        <f>SUM(LEN(#REF!)-LEN(SUBSTITUTE(#REF!,"- Documentado","")))/LEN("- Documentado")</f>
        <v>#REF!</v>
      </c>
      <c r="DU19" s="149" t="e">
        <f t="shared" si="10"/>
        <v>#REF!</v>
      </c>
      <c r="DV19" s="149" t="e">
        <f>SUM(LEN(#REF!)-LEN(SUBSTITUTE(#REF!,"- Continua","")))/LEN("- Continua")</f>
        <v>#REF!</v>
      </c>
      <c r="DW19" s="149" t="e">
        <f>SUM(LEN(#REF!)-LEN(SUBSTITUTE(#REF!,"- Continua","")))/LEN("- Continua")</f>
        <v>#REF!</v>
      </c>
      <c r="DX19" s="149" t="e">
        <f t="shared" si="11"/>
        <v>#REF!</v>
      </c>
      <c r="DY19" s="149" t="e">
        <f>SUM(LEN(#REF!)-LEN(SUBSTITUTE(#REF!,"- Con registro","")))/LEN("- Con registro")</f>
        <v>#REF!</v>
      </c>
      <c r="DZ19" s="149" t="e">
        <f>SUM(LEN(#REF!)-LEN(SUBSTITUTE(#REF!,"- Con registro","")))/LEN("- Con registro")</f>
        <v>#REF!</v>
      </c>
      <c r="EA19" s="149" t="e">
        <f t="shared" si="12"/>
        <v>#REF!</v>
      </c>
      <c r="EB19" s="152" t="e">
        <f t="shared" si="13"/>
        <v>#REF!</v>
      </c>
      <c r="EC19" s="152" t="e">
        <f t="shared" si="14"/>
        <v>#REF!</v>
      </c>
      <c r="ED19" s="184" t="e">
        <f t="shared" si="15"/>
        <v>#REF!</v>
      </c>
      <c r="EE19" s="198" t="e">
        <f t="shared" si="16"/>
        <v>#REF!</v>
      </c>
      <c r="EF19" s="198"/>
      <c r="EG19" s="198"/>
      <c r="EH19" s="198"/>
      <c r="EI19" s="198"/>
      <c r="EJ19" s="198"/>
      <c r="EK19" s="198"/>
      <c r="EL19" s="198"/>
      <c r="EM19" s="198"/>
      <c r="EN19" s="198"/>
      <c r="EP19" s="172">
        <f t="shared" si="17"/>
        <v>45267</v>
      </c>
      <c r="EQ19" s="173">
        <f t="shared" si="18"/>
        <v>45320</v>
      </c>
      <c r="ER19" s="149" t="str">
        <f t="shared" si="19"/>
        <v>Riesgos</v>
      </c>
      <c r="ES19" s="149" t="str">
        <f t="shared" si="20"/>
        <v>ID_-: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ET19" s="149" t="str">
        <f t="shared" si="21"/>
        <v>Ajuste en 
Análisis antes de controles
Tratamiento del riesgo en el Mapa de riesgos de Gestión de Recursos Físicos</v>
      </c>
      <c r="EU19" s="149" t="str">
        <f t="shared" si="22"/>
        <v>Solicitud de cambio realizada y aprobada por la Subdirección de Servicios Administrativos a través del Aplicativo DARUMA</v>
      </c>
    </row>
    <row r="20" spans="1:151" ht="399.95" customHeight="1" x14ac:dyDescent="0.2">
      <c r="A20" s="177" t="s">
        <v>423</v>
      </c>
      <c r="B20" s="158" t="s">
        <v>401</v>
      </c>
      <c r="C20" s="158" t="s">
        <v>643</v>
      </c>
      <c r="D20" s="177" t="s">
        <v>626</v>
      </c>
      <c r="E20" s="178" t="s">
        <v>398</v>
      </c>
      <c r="F20" s="158" t="s">
        <v>402</v>
      </c>
      <c r="G20" s="178" t="s">
        <v>542</v>
      </c>
      <c r="H20" s="178" t="s">
        <v>542</v>
      </c>
      <c r="I20" s="154" t="s">
        <v>403</v>
      </c>
      <c r="J20" s="177" t="s">
        <v>63</v>
      </c>
      <c r="K20" s="178" t="s">
        <v>326</v>
      </c>
      <c r="L20" s="158" t="s">
        <v>258</v>
      </c>
      <c r="M20" s="164" t="s">
        <v>367</v>
      </c>
      <c r="N20" s="158" t="s">
        <v>368</v>
      </c>
      <c r="O20" s="158" t="s">
        <v>369</v>
      </c>
      <c r="P20" s="158" t="s">
        <v>330</v>
      </c>
      <c r="Q20" s="158" t="s">
        <v>325</v>
      </c>
      <c r="R20" s="158" t="s">
        <v>331</v>
      </c>
      <c r="S20" s="158" t="s">
        <v>426</v>
      </c>
      <c r="T20" s="158" t="s">
        <v>561</v>
      </c>
      <c r="U20" s="179" t="s">
        <v>311</v>
      </c>
      <c r="V20" s="180">
        <v>0.2</v>
      </c>
      <c r="W20" s="179" t="s">
        <v>77</v>
      </c>
      <c r="X20" s="180">
        <v>0.8</v>
      </c>
      <c r="Y20" s="66" t="s">
        <v>270</v>
      </c>
      <c r="Z20" s="158" t="s">
        <v>644</v>
      </c>
      <c r="AA20" s="179" t="s">
        <v>311</v>
      </c>
      <c r="AB20" s="182">
        <v>2.4695999999999999E-2</v>
      </c>
      <c r="AC20" s="179" t="s">
        <v>77</v>
      </c>
      <c r="AD20" s="182">
        <v>0.8</v>
      </c>
      <c r="AE20" s="66" t="s">
        <v>270</v>
      </c>
      <c r="AF20" s="158" t="s">
        <v>370</v>
      </c>
      <c r="AG20" s="177" t="s">
        <v>328</v>
      </c>
      <c r="AH20" s="158" t="s">
        <v>645</v>
      </c>
      <c r="AI20" s="158" t="s">
        <v>737</v>
      </c>
      <c r="AJ20" s="158" t="s">
        <v>542</v>
      </c>
      <c r="AK20" s="158" t="s">
        <v>542</v>
      </c>
      <c r="AL20" s="158" t="s">
        <v>664</v>
      </c>
      <c r="AM20" s="158" t="s">
        <v>665</v>
      </c>
      <c r="AN20" s="158" t="s">
        <v>646</v>
      </c>
      <c r="AO20" s="158" t="s">
        <v>647</v>
      </c>
      <c r="AP20" s="158" t="s">
        <v>648</v>
      </c>
      <c r="AQ20" s="159">
        <v>45264</v>
      </c>
      <c r="AR20" s="160" t="s">
        <v>336</v>
      </c>
      <c r="AS20" s="161" t="s">
        <v>649</v>
      </c>
      <c r="AT20" s="162"/>
      <c r="AU20" s="163"/>
      <c r="AV20" s="164"/>
      <c r="AW20" s="162"/>
      <c r="AX20" s="160"/>
      <c r="AY20" s="161"/>
      <c r="AZ20" s="162"/>
      <c r="BA20" s="163"/>
      <c r="BB20" s="164"/>
      <c r="BC20" s="162"/>
      <c r="BD20" s="160"/>
      <c r="BE20" s="161"/>
      <c r="BF20" s="162"/>
      <c r="BG20" s="163"/>
      <c r="BH20" s="164"/>
      <c r="BI20" s="162"/>
      <c r="BJ20" s="160"/>
      <c r="BK20" s="161"/>
      <c r="BL20" s="162"/>
      <c r="BM20" s="163"/>
      <c r="BN20" s="164"/>
      <c r="BO20" s="162"/>
      <c r="BP20" s="160"/>
      <c r="BQ20" s="161"/>
      <c r="BR20" s="162"/>
      <c r="BS20" s="163"/>
      <c r="BT20" s="164"/>
      <c r="BU20" s="162"/>
      <c r="BV20" s="160"/>
      <c r="BW20" s="161"/>
      <c r="BX20" s="162"/>
      <c r="BY20" s="163"/>
      <c r="BZ20" s="165"/>
      <c r="CA20" s="2">
        <f t="shared" si="0"/>
        <v>33</v>
      </c>
      <c r="CB20" s="51" t="s">
        <v>488</v>
      </c>
      <c r="CC20" s="51" t="s">
        <v>553</v>
      </c>
      <c r="CD20" s="51" t="s">
        <v>439</v>
      </c>
      <c r="CE20" s="51" t="s">
        <v>434</v>
      </c>
      <c r="CF20" s="51" t="s">
        <v>432</v>
      </c>
      <c r="CG20" s="51" t="s">
        <v>432</v>
      </c>
      <c r="CH20" s="51" t="s">
        <v>448</v>
      </c>
      <c r="CI20" s="51" t="s">
        <v>432</v>
      </c>
      <c r="CJ20" s="51" t="s">
        <v>452</v>
      </c>
      <c r="CK20" s="51"/>
      <c r="CL20" s="51" t="s">
        <v>452</v>
      </c>
      <c r="CM20" s="51" t="s">
        <v>452</v>
      </c>
      <c r="CN20" s="51" t="s">
        <v>452</v>
      </c>
      <c r="CO20" s="51" t="s">
        <v>510</v>
      </c>
      <c r="CP20" s="51" t="s">
        <v>452</v>
      </c>
      <c r="CQ20" s="51" t="s">
        <v>510</v>
      </c>
      <c r="CR20" s="51" t="s">
        <v>469</v>
      </c>
      <c r="CS20" s="51" t="s">
        <v>452</v>
      </c>
      <c r="CT20" s="51" t="s">
        <v>452</v>
      </c>
      <c r="CU20" s="51" t="s">
        <v>452</v>
      </c>
      <c r="CV20" s="51" t="s">
        <v>452</v>
      </c>
      <c r="CW20" s="51" t="s">
        <v>452</v>
      </c>
      <c r="CX20" s="51" t="s">
        <v>452</v>
      </c>
      <c r="CZ20" s="153" t="str">
        <f t="shared" si="1"/>
        <v>Corrupción</v>
      </c>
      <c r="DA20" s="200" t="str">
        <f t="shared" si="2"/>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B20" s="200"/>
      <c r="DC20" s="200"/>
      <c r="DD20" s="200"/>
      <c r="DE20" s="200"/>
      <c r="DF20" s="200"/>
      <c r="DG20" s="200"/>
      <c r="DH20" s="153" t="str">
        <f t="shared" si="3"/>
        <v>Alto</v>
      </c>
      <c r="DI20" s="153" t="str">
        <f t="shared" ref="DI20:DI26" si="23">AE20</f>
        <v>Alto</v>
      </c>
      <c r="DK20" s="149" t="e">
        <f>SUM(LEN(#REF!)-LEN(SUBSTITUTE(#REF!,"- Preventivo","")))/LEN("- Preventivo")</f>
        <v>#REF!</v>
      </c>
      <c r="DL20" s="149" t="e">
        <f t="shared" si="5"/>
        <v>#REF!</v>
      </c>
      <c r="DM20" s="149" t="e">
        <f>SUM(LEN(#REF!)-LEN(SUBSTITUTE(#REF!,"- Detectivo","")))/LEN("- Detectivo")</f>
        <v>#REF!</v>
      </c>
      <c r="DN20" s="149" t="e">
        <f t="shared" si="6"/>
        <v>#REF!</v>
      </c>
      <c r="DO20" s="149" t="e">
        <f>SUM(LEN(#REF!)-LEN(SUBSTITUTE(#REF!,"- Correctivo","")))/LEN("- Correctivo")</f>
        <v>#REF!</v>
      </c>
      <c r="DP20" s="149" t="e">
        <f t="shared" si="7"/>
        <v>#REF!</v>
      </c>
      <c r="DQ20" s="149" t="e">
        <f t="shared" si="8"/>
        <v>#REF!</v>
      </c>
      <c r="DR20" s="149" t="e">
        <f t="shared" si="9"/>
        <v>#REF!</v>
      </c>
      <c r="DS20" s="149" t="e">
        <f>SUM(LEN(#REF!)-LEN(SUBSTITUTE(#REF!,"- Documentado","")))/LEN("- Documentado")</f>
        <v>#REF!</v>
      </c>
      <c r="DT20" s="149" t="e">
        <f>SUM(LEN(#REF!)-LEN(SUBSTITUTE(#REF!,"- Documentado","")))/LEN("- Documentado")</f>
        <v>#REF!</v>
      </c>
      <c r="DU20" s="149" t="e">
        <f t="shared" si="10"/>
        <v>#REF!</v>
      </c>
      <c r="DV20" s="149" t="e">
        <f>SUM(LEN(#REF!)-LEN(SUBSTITUTE(#REF!,"- Continua","")))/LEN("- Continua")</f>
        <v>#REF!</v>
      </c>
      <c r="DW20" s="149" t="e">
        <f>SUM(LEN(#REF!)-LEN(SUBSTITUTE(#REF!,"- Continua","")))/LEN("- Continua")</f>
        <v>#REF!</v>
      </c>
      <c r="DX20" s="149" t="e">
        <f t="shared" si="11"/>
        <v>#REF!</v>
      </c>
      <c r="DY20" s="149" t="e">
        <f>SUM(LEN(#REF!)-LEN(SUBSTITUTE(#REF!,"- Con registro","")))/LEN("- Con registro")</f>
        <v>#REF!</v>
      </c>
      <c r="DZ20" s="149" t="e">
        <f>SUM(LEN(#REF!)-LEN(SUBSTITUTE(#REF!,"- Con registro","")))/LEN("- Con registro")</f>
        <v>#REF!</v>
      </c>
      <c r="EA20" s="149" t="e">
        <f t="shared" si="12"/>
        <v>#REF!</v>
      </c>
      <c r="EB20" s="152" t="e">
        <f t="shared" si="13"/>
        <v>#REF!</v>
      </c>
      <c r="EC20" s="152" t="e">
        <f t="shared" si="14"/>
        <v>#REF!</v>
      </c>
      <c r="ED20" s="184" t="e">
        <f t="shared" si="15"/>
        <v>#REF!</v>
      </c>
      <c r="EE20" s="198" t="e">
        <f t="shared" si="16"/>
        <v>#REF!</v>
      </c>
      <c r="EF20" s="198"/>
      <c r="EG20" s="198"/>
      <c r="EH20" s="198"/>
      <c r="EI20" s="198"/>
      <c r="EJ20" s="198"/>
      <c r="EK20" s="198"/>
      <c r="EL20" s="198"/>
      <c r="EM20" s="198"/>
      <c r="EN20" s="198"/>
      <c r="EP20" s="172">
        <f t="shared" si="17"/>
        <v>45264</v>
      </c>
      <c r="EQ20" s="173">
        <f t="shared" si="18"/>
        <v>45320</v>
      </c>
      <c r="ER20" s="149" t="str">
        <f t="shared" si="19"/>
        <v>Riesgos</v>
      </c>
      <c r="ES20" s="149" t="str">
        <f t="shared" si="20"/>
        <v>ID_-: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ET20" s="149" t="str">
        <f t="shared" si="21"/>
        <v>Ajuste en 
Tratamiento del riesgo en el Mapa de riesgos de Gestión de Servicios Administrativos y Tecnológicos</v>
      </c>
      <c r="EU20" s="149" t="str">
        <f t="shared" si="22"/>
        <v>Solicitud de cambio realizada y aprobada por la Subdirección de Servicios Administrativos a través del Aplicativo DARUMA</v>
      </c>
    </row>
    <row r="21" spans="1:151" ht="399.95" customHeight="1" x14ac:dyDescent="0.2">
      <c r="A21" s="177" t="s">
        <v>423</v>
      </c>
      <c r="B21" s="158" t="s">
        <v>401</v>
      </c>
      <c r="C21" s="158" t="s">
        <v>643</v>
      </c>
      <c r="D21" s="177" t="s">
        <v>626</v>
      </c>
      <c r="E21" s="178" t="s">
        <v>398</v>
      </c>
      <c r="F21" s="158" t="s">
        <v>404</v>
      </c>
      <c r="G21" s="178" t="s">
        <v>542</v>
      </c>
      <c r="H21" s="178" t="s">
        <v>542</v>
      </c>
      <c r="I21" s="154" t="s">
        <v>405</v>
      </c>
      <c r="J21" s="177" t="s">
        <v>63</v>
      </c>
      <c r="K21" s="178" t="s">
        <v>326</v>
      </c>
      <c r="L21" s="158" t="s">
        <v>430</v>
      </c>
      <c r="M21" s="164" t="s">
        <v>650</v>
      </c>
      <c r="N21" s="158" t="s">
        <v>406</v>
      </c>
      <c r="O21" s="158" t="s">
        <v>651</v>
      </c>
      <c r="P21" s="158" t="s">
        <v>330</v>
      </c>
      <c r="Q21" s="158" t="s">
        <v>325</v>
      </c>
      <c r="R21" s="158" t="s">
        <v>331</v>
      </c>
      <c r="S21" s="158" t="s">
        <v>426</v>
      </c>
      <c r="T21" s="158" t="s">
        <v>561</v>
      </c>
      <c r="U21" s="179" t="s">
        <v>311</v>
      </c>
      <c r="V21" s="180">
        <v>0.2</v>
      </c>
      <c r="W21" s="179" t="s">
        <v>77</v>
      </c>
      <c r="X21" s="180">
        <v>0.8</v>
      </c>
      <c r="Y21" s="66" t="s">
        <v>270</v>
      </c>
      <c r="Z21" s="158" t="s">
        <v>371</v>
      </c>
      <c r="AA21" s="179" t="s">
        <v>311</v>
      </c>
      <c r="AB21" s="182">
        <v>8.3999999999999991E-2</v>
      </c>
      <c r="AC21" s="179" t="s">
        <v>77</v>
      </c>
      <c r="AD21" s="182">
        <v>0.8</v>
      </c>
      <c r="AE21" s="66" t="s">
        <v>270</v>
      </c>
      <c r="AF21" s="158" t="s">
        <v>652</v>
      </c>
      <c r="AG21" s="177" t="s">
        <v>328</v>
      </c>
      <c r="AH21" s="181" t="s">
        <v>653</v>
      </c>
      <c r="AI21" s="181" t="s">
        <v>654</v>
      </c>
      <c r="AJ21" s="181" t="s">
        <v>542</v>
      </c>
      <c r="AK21" s="181" t="s">
        <v>542</v>
      </c>
      <c r="AL21" s="181" t="s">
        <v>598</v>
      </c>
      <c r="AM21" s="181" t="s">
        <v>587</v>
      </c>
      <c r="AN21" s="158" t="s">
        <v>655</v>
      </c>
      <c r="AO21" s="158" t="s">
        <v>656</v>
      </c>
      <c r="AP21" s="158" t="s">
        <v>657</v>
      </c>
      <c r="AQ21" s="162">
        <v>45264</v>
      </c>
      <c r="AR21" s="163" t="s">
        <v>342</v>
      </c>
      <c r="AS21" s="164" t="s">
        <v>658</v>
      </c>
      <c r="AT21" s="162"/>
      <c r="AU21" s="160"/>
      <c r="AV21" s="161"/>
      <c r="AW21" s="162"/>
      <c r="AX21" s="163"/>
      <c r="AY21" s="164"/>
      <c r="AZ21" s="162"/>
      <c r="BA21" s="160"/>
      <c r="BB21" s="161"/>
      <c r="BC21" s="162"/>
      <c r="BD21" s="163"/>
      <c r="BE21" s="164"/>
      <c r="BF21" s="162"/>
      <c r="BG21" s="160"/>
      <c r="BH21" s="161"/>
      <c r="BI21" s="162"/>
      <c r="BJ21" s="163"/>
      <c r="BK21" s="164"/>
      <c r="BL21" s="162"/>
      <c r="BM21" s="160"/>
      <c r="BN21" s="161"/>
      <c r="BO21" s="162"/>
      <c r="BP21" s="163"/>
      <c r="BQ21" s="164"/>
      <c r="BR21" s="162"/>
      <c r="BS21" s="160"/>
      <c r="BT21" s="161"/>
      <c r="BU21" s="162"/>
      <c r="BV21" s="163"/>
      <c r="BW21" s="166"/>
      <c r="BX21" s="162"/>
      <c r="BY21" s="163"/>
      <c r="BZ21" s="165"/>
      <c r="CA21" s="2">
        <f t="shared" si="0"/>
        <v>33</v>
      </c>
      <c r="CB21" s="51" t="s">
        <v>489</v>
      </c>
      <c r="CC21" s="51" t="s">
        <v>502</v>
      </c>
      <c r="CD21" s="51" t="s">
        <v>439</v>
      </c>
      <c r="CE21" s="51" t="s">
        <v>434</v>
      </c>
      <c r="CF21" s="51" t="s">
        <v>432</v>
      </c>
      <c r="CG21" s="51" t="s">
        <v>432</v>
      </c>
      <c r="CH21" s="51" t="s">
        <v>448</v>
      </c>
      <c r="CI21" s="51" t="s">
        <v>432</v>
      </c>
      <c r="CJ21" s="51" t="s">
        <v>452</v>
      </c>
      <c r="CK21" s="51"/>
      <c r="CL21" s="51" t="s">
        <v>452</v>
      </c>
      <c r="CM21" s="51" t="s">
        <v>452</v>
      </c>
      <c r="CN21" s="51" t="s">
        <v>452</v>
      </c>
      <c r="CO21" s="51" t="s">
        <v>452</v>
      </c>
      <c r="CP21" s="51" t="s">
        <v>452</v>
      </c>
      <c r="CQ21" s="51" t="s">
        <v>452</v>
      </c>
      <c r="CR21" s="51" t="s">
        <v>470</v>
      </c>
      <c r="CS21" s="51" t="s">
        <v>452</v>
      </c>
      <c r="CT21" s="51" t="s">
        <v>452</v>
      </c>
      <c r="CU21" s="51" t="s">
        <v>452</v>
      </c>
      <c r="CV21" s="51" t="s">
        <v>452</v>
      </c>
      <c r="CW21" s="51" t="s">
        <v>452</v>
      </c>
      <c r="CX21" s="51" t="s">
        <v>452</v>
      </c>
      <c r="CZ21" s="153" t="str">
        <f t="shared" si="1"/>
        <v>Corrupción</v>
      </c>
      <c r="DA21" s="200" t="str">
        <f t="shared" si="2"/>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B21" s="200"/>
      <c r="DC21" s="200"/>
      <c r="DD21" s="200"/>
      <c r="DE21" s="200"/>
      <c r="DF21" s="200"/>
      <c r="DG21" s="200"/>
      <c r="DH21" s="153" t="str">
        <f t="shared" si="3"/>
        <v>Alto</v>
      </c>
      <c r="DI21" s="153" t="str">
        <f t="shared" si="23"/>
        <v>Alto</v>
      </c>
      <c r="DK21" s="149" t="e">
        <f>SUM(LEN(#REF!)-LEN(SUBSTITUTE(#REF!,"- Preventivo","")))/LEN("- Preventivo")</f>
        <v>#REF!</v>
      </c>
      <c r="DL21" s="149" t="e">
        <f t="shared" si="5"/>
        <v>#REF!</v>
      </c>
      <c r="DM21" s="149" t="e">
        <f>SUM(LEN(#REF!)-LEN(SUBSTITUTE(#REF!,"- Detectivo","")))/LEN("- Detectivo")</f>
        <v>#REF!</v>
      </c>
      <c r="DN21" s="149" t="e">
        <f t="shared" si="6"/>
        <v>#REF!</v>
      </c>
      <c r="DO21" s="149" t="e">
        <f>SUM(LEN(#REF!)-LEN(SUBSTITUTE(#REF!,"- Correctivo","")))/LEN("- Correctivo")</f>
        <v>#REF!</v>
      </c>
      <c r="DP21" s="149" t="e">
        <f t="shared" si="7"/>
        <v>#REF!</v>
      </c>
      <c r="DQ21" s="149" t="e">
        <f t="shared" si="8"/>
        <v>#REF!</v>
      </c>
      <c r="DR21" s="149" t="e">
        <f t="shared" si="9"/>
        <v>#REF!</v>
      </c>
      <c r="DS21" s="149" t="e">
        <f>SUM(LEN(#REF!)-LEN(SUBSTITUTE(#REF!,"- Documentado","")))/LEN("- Documentado")</f>
        <v>#REF!</v>
      </c>
      <c r="DT21" s="149" t="e">
        <f>SUM(LEN(#REF!)-LEN(SUBSTITUTE(#REF!,"- Documentado","")))/LEN("- Documentado")</f>
        <v>#REF!</v>
      </c>
      <c r="DU21" s="149" t="e">
        <f t="shared" si="10"/>
        <v>#REF!</v>
      </c>
      <c r="DV21" s="149" t="e">
        <f>SUM(LEN(#REF!)-LEN(SUBSTITUTE(#REF!,"- Continua","")))/LEN("- Continua")</f>
        <v>#REF!</v>
      </c>
      <c r="DW21" s="149" t="e">
        <f>SUM(LEN(#REF!)-LEN(SUBSTITUTE(#REF!,"- Continua","")))/LEN("- Continua")</f>
        <v>#REF!</v>
      </c>
      <c r="DX21" s="149" t="e">
        <f t="shared" si="11"/>
        <v>#REF!</v>
      </c>
      <c r="DY21" s="149" t="e">
        <f>SUM(LEN(#REF!)-LEN(SUBSTITUTE(#REF!,"- Con registro","")))/LEN("- Con registro")</f>
        <v>#REF!</v>
      </c>
      <c r="DZ21" s="149" t="e">
        <f>SUM(LEN(#REF!)-LEN(SUBSTITUTE(#REF!,"- Con registro","")))/LEN("- Con registro")</f>
        <v>#REF!</v>
      </c>
      <c r="EA21" s="149" t="e">
        <f t="shared" si="12"/>
        <v>#REF!</v>
      </c>
      <c r="EB21" s="152" t="e">
        <f t="shared" si="13"/>
        <v>#REF!</v>
      </c>
      <c r="EC21" s="152" t="e">
        <f t="shared" si="14"/>
        <v>#REF!</v>
      </c>
      <c r="ED21" s="184" t="e">
        <f t="shared" si="15"/>
        <v>#REF!</v>
      </c>
      <c r="EE21" s="198" t="e">
        <f t="shared" si="16"/>
        <v>#REF!</v>
      </c>
      <c r="EF21" s="198"/>
      <c r="EG21" s="198"/>
      <c r="EH21" s="198"/>
      <c r="EI21" s="198"/>
      <c r="EJ21" s="198"/>
      <c r="EK21" s="198"/>
      <c r="EL21" s="198"/>
      <c r="EM21" s="198"/>
      <c r="EN21" s="198"/>
      <c r="EP21" s="172">
        <f t="shared" si="17"/>
        <v>45264</v>
      </c>
      <c r="EQ21" s="173">
        <f t="shared" si="18"/>
        <v>45320</v>
      </c>
      <c r="ER21" s="149" t="str">
        <f t="shared" si="19"/>
        <v>Riesgos</v>
      </c>
      <c r="ES21" s="149" t="str">
        <f t="shared" si="20"/>
        <v>ID_-: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ET21" s="149" t="str">
        <f t="shared" si="21"/>
        <v>Ajuste en Identificación del riesgo
Análisis antes de controles
Tratamiento del riesgo en el Mapa de riesgos de Gestión de Servicios Administrativos y Tecnológicos</v>
      </c>
      <c r="EU21" s="149" t="str">
        <f t="shared" si="22"/>
        <v>Solicitud de cambio realizada y aprobada por la Subdirección de Gestión Documental a través del Aplicativo DARUMA</v>
      </c>
    </row>
    <row r="22" spans="1:151" ht="399.95" customHeight="1" x14ac:dyDescent="0.2">
      <c r="A22" s="177" t="s">
        <v>407</v>
      </c>
      <c r="B22" s="158" t="s">
        <v>740</v>
      </c>
      <c r="C22" s="158" t="s">
        <v>741</v>
      </c>
      <c r="D22" s="177" t="s">
        <v>197</v>
      </c>
      <c r="E22" s="178" t="s">
        <v>398</v>
      </c>
      <c r="F22" s="158" t="s">
        <v>743</v>
      </c>
      <c r="G22" s="178" t="s">
        <v>542</v>
      </c>
      <c r="H22" s="178" t="s">
        <v>542</v>
      </c>
      <c r="I22" s="154" t="s">
        <v>744</v>
      </c>
      <c r="J22" s="177" t="s">
        <v>63</v>
      </c>
      <c r="K22" s="178" t="s">
        <v>326</v>
      </c>
      <c r="L22" s="158" t="s">
        <v>246</v>
      </c>
      <c r="M22" s="164" t="s">
        <v>745</v>
      </c>
      <c r="N22" s="158" t="s">
        <v>746</v>
      </c>
      <c r="O22" s="158" t="s">
        <v>747</v>
      </c>
      <c r="P22" s="158" t="s">
        <v>742</v>
      </c>
      <c r="Q22" s="158" t="s">
        <v>325</v>
      </c>
      <c r="R22" s="158" t="s">
        <v>327</v>
      </c>
      <c r="S22" s="158" t="s">
        <v>426</v>
      </c>
      <c r="T22" s="158" t="s">
        <v>561</v>
      </c>
      <c r="U22" s="179" t="s">
        <v>311</v>
      </c>
      <c r="V22" s="180">
        <v>0.2</v>
      </c>
      <c r="W22" s="179" t="s">
        <v>77</v>
      </c>
      <c r="X22" s="180">
        <v>0.8</v>
      </c>
      <c r="Y22" s="66" t="s">
        <v>270</v>
      </c>
      <c r="Z22" s="158" t="s">
        <v>748</v>
      </c>
      <c r="AA22" s="179" t="s">
        <v>311</v>
      </c>
      <c r="AB22" s="182">
        <v>3.0239999999999996E-2</v>
      </c>
      <c r="AC22" s="179" t="s">
        <v>77</v>
      </c>
      <c r="AD22" s="182">
        <v>0.8</v>
      </c>
      <c r="AE22" s="66" t="s">
        <v>270</v>
      </c>
      <c r="AF22" s="158" t="s">
        <v>749</v>
      </c>
      <c r="AG22" s="177" t="s">
        <v>328</v>
      </c>
      <c r="AH22" s="181" t="s">
        <v>750</v>
      </c>
      <c r="AI22" s="181" t="s">
        <v>751</v>
      </c>
      <c r="AJ22" s="181" t="s">
        <v>542</v>
      </c>
      <c r="AK22" s="181" t="s">
        <v>542</v>
      </c>
      <c r="AL22" s="183" t="s">
        <v>752</v>
      </c>
      <c r="AM22" s="183" t="s">
        <v>738</v>
      </c>
      <c r="AN22" s="158" t="s">
        <v>753</v>
      </c>
      <c r="AO22" s="158" t="s">
        <v>754</v>
      </c>
      <c r="AP22" s="158" t="s">
        <v>755</v>
      </c>
      <c r="AQ22" s="159">
        <v>45273</v>
      </c>
      <c r="AR22" s="160" t="s">
        <v>567</v>
      </c>
      <c r="AS22" s="161" t="s">
        <v>756</v>
      </c>
      <c r="AT22" s="162"/>
      <c r="AU22" s="163"/>
      <c r="AV22" s="164"/>
      <c r="AW22" s="162"/>
      <c r="AX22" s="160"/>
      <c r="AY22" s="161"/>
      <c r="AZ22" s="162"/>
      <c r="BA22" s="163"/>
      <c r="BB22" s="164"/>
      <c r="BC22" s="162"/>
      <c r="BD22" s="160"/>
      <c r="BE22" s="161"/>
      <c r="BF22" s="162"/>
      <c r="BG22" s="163"/>
      <c r="BH22" s="164"/>
      <c r="BI22" s="162"/>
      <c r="BJ22" s="160"/>
      <c r="BK22" s="161"/>
      <c r="BL22" s="162"/>
      <c r="BM22" s="163"/>
      <c r="BN22" s="164"/>
      <c r="BO22" s="162"/>
      <c r="BP22" s="160"/>
      <c r="BQ22" s="161"/>
      <c r="BR22" s="162"/>
      <c r="BS22" s="163"/>
      <c r="BT22" s="164"/>
      <c r="BU22" s="162"/>
      <c r="BV22" s="163"/>
      <c r="BW22" s="164"/>
      <c r="BX22" s="162"/>
      <c r="BY22" s="163"/>
      <c r="BZ22" s="165"/>
      <c r="CA22" s="2">
        <f t="shared" si="0"/>
        <v>33</v>
      </c>
      <c r="CB22" s="51" t="s">
        <v>486</v>
      </c>
      <c r="CC22" s="51" t="s">
        <v>487</v>
      </c>
      <c r="CD22" s="51" t="s">
        <v>440</v>
      </c>
      <c r="CE22" s="51" t="s">
        <v>452</v>
      </c>
      <c r="CF22" s="51" t="s">
        <v>432</v>
      </c>
      <c r="CG22" s="51" t="s">
        <v>432</v>
      </c>
      <c r="CH22" s="51" t="s">
        <v>448</v>
      </c>
      <c r="CI22" s="51" t="s">
        <v>432</v>
      </c>
      <c r="CJ22" s="51" t="s">
        <v>452</v>
      </c>
      <c r="CK22" s="51"/>
      <c r="CL22" s="51" t="s">
        <v>452</v>
      </c>
      <c r="CM22" s="51" t="s">
        <v>457</v>
      </c>
      <c r="CN22" s="51" t="s">
        <v>452</v>
      </c>
      <c r="CO22" s="51" t="s">
        <v>452</v>
      </c>
      <c r="CP22" s="51" t="s">
        <v>452</v>
      </c>
      <c r="CQ22" s="51" t="s">
        <v>452</v>
      </c>
      <c r="CR22" s="51" t="s">
        <v>471</v>
      </c>
      <c r="CS22" s="51" t="s">
        <v>452</v>
      </c>
      <c r="CT22" s="51"/>
      <c r="CU22" s="51"/>
      <c r="CV22" s="51"/>
      <c r="CW22" s="51"/>
      <c r="CX22" s="51" t="s">
        <v>452</v>
      </c>
      <c r="CZ22" s="153" t="str">
        <f t="shared" si="1"/>
        <v>Corrupción</v>
      </c>
      <c r="DA22" s="200" t="str">
        <f t="shared" si="2"/>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B22" s="200"/>
      <c r="DC22" s="200"/>
      <c r="DD22" s="200"/>
      <c r="DE22" s="200"/>
      <c r="DF22" s="200"/>
      <c r="DG22" s="200"/>
      <c r="DH22" s="153" t="str">
        <f t="shared" si="3"/>
        <v>Alto</v>
      </c>
      <c r="DI22" s="153" t="str">
        <f t="shared" si="23"/>
        <v>Alto</v>
      </c>
      <c r="DK22" s="149" t="e">
        <f>SUM(LEN(#REF!)-LEN(SUBSTITUTE(#REF!,"- Preventivo","")))/LEN("- Preventivo")</f>
        <v>#REF!</v>
      </c>
      <c r="DL22" s="149" t="e">
        <f t="shared" si="5"/>
        <v>#REF!</v>
      </c>
      <c r="DM22" s="149" t="e">
        <f>SUM(LEN(#REF!)-LEN(SUBSTITUTE(#REF!,"- Detectivo","")))/LEN("- Detectivo")</f>
        <v>#REF!</v>
      </c>
      <c r="DN22" s="149" t="e">
        <f t="shared" si="6"/>
        <v>#REF!</v>
      </c>
      <c r="DO22" s="149" t="e">
        <f>SUM(LEN(#REF!)-LEN(SUBSTITUTE(#REF!,"- Correctivo","")))/LEN("- Correctivo")</f>
        <v>#REF!</v>
      </c>
      <c r="DP22" s="149" t="e">
        <f t="shared" si="7"/>
        <v>#REF!</v>
      </c>
      <c r="DQ22" s="149" t="e">
        <f t="shared" si="8"/>
        <v>#REF!</v>
      </c>
      <c r="DR22" s="149" t="e">
        <f t="shared" si="9"/>
        <v>#REF!</v>
      </c>
      <c r="DS22" s="149" t="e">
        <f>SUM(LEN(#REF!)-LEN(SUBSTITUTE(#REF!,"- Documentado","")))/LEN("- Documentado")</f>
        <v>#REF!</v>
      </c>
      <c r="DT22" s="149" t="e">
        <f>SUM(LEN(#REF!)-LEN(SUBSTITUTE(#REF!,"- Documentado","")))/LEN("- Documentado")</f>
        <v>#REF!</v>
      </c>
      <c r="DU22" s="149" t="e">
        <f t="shared" si="10"/>
        <v>#REF!</v>
      </c>
      <c r="DV22" s="149" t="e">
        <f>SUM(LEN(#REF!)-LEN(SUBSTITUTE(#REF!,"- Continua","")))/LEN("- Continua")</f>
        <v>#REF!</v>
      </c>
      <c r="DW22" s="149" t="e">
        <f>SUM(LEN(#REF!)-LEN(SUBSTITUTE(#REF!,"- Continua","")))/LEN("- Continua")</f>
        <v>#REF!</v>
      </c>
      <c r="DX22" s="149" t="e">
        <f t="shared" si="11"/>
        <v>#REF!</v>
      </c>
      <c r="DY22" s="149" t="e">
        <f>SUM(LEN(#REF!)-LEN(SUBSTITUTE(#REF!,"- Con registro","")))/LEN("- Con registro")</f>
        <v>#REF!</v>
      </c>
      <c r="DZ22" s="149" t="e">
        <f>SUM(LEN(#REF!)-LEN(SUBSTITUTE(#REF!,"- Con registro","")))/LEN("- Con registro")</f>
        <v>#REF!</v>
      </c>
      <c r="EA22" s="149" t="e">
        <f t="shared" si="12"/>
        <v>#REF!</v>
      </c>
      <c r="EB22" s="152" t="e">
        <f t="shared" si="13"/>
        <v>#REF!</v>
      </c>
      <c r="EC22" s="152" t="e">
        <f t="shared" si="14"/>
        <v>#REF!</v>
      </c>
      <c r="ED22" s="184" t="e">
        <f t="shared" si="15"/>
        <v>#REF!</v>
      </c>
      <c r="EE22" s="198" t="e">
        <f t="shared" si="16"/>
        <v>#REF!</v>
      </c>
      <c r="EF22" s="198"/>
      <c r="EG22" s="198"/>
      <c r="EH22" s="198"/>
      <c r="EI22" s="198"/>
      <c r="EJ22" s="198"/>
      <c r="EK22" s="198"/>
      <c r="EL22" s="198"/>
      <c r="EM22" s="198"/>
      <c r="EN22" s="198"/>
      <c r="EP22" s="172">
        <f t="shared" si="17"/>
        <v>45273</v>
      </c>
      <c r="EQ22" s="173">
        <f t="shared" si="18"/>
        <v>45320</v>
      </c>
      <c r="ER22" s="149" t="str">
        <f t="shared" si="19"/>
        <v>Riesgos</v>
      </c>
      <c r="ES22" s="149" t="str">
        <f t="shared" si="20"/>
        <v>ID_-: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ET22" s="149" t="str">
        <f t="shared" si="21"/>
        <v>Ajuste en 
Establecimiento de controles
Tratamiento del riesgo en el Mapa de riesgos de Gestión del Talento Humano</v>
      </c>
      <c r="EU22" s="149" t="str">
        <f t="shared" si="22"/>
        <v>Solicitud de cambio realizada y aprobada por la Dirección de Talento Humano a través del Aplicativo DARUMA</v>
      </c>
    </row>
    <row r="23" spans="1:151" ht="399.95" customHeight="1" x14ac:dyDescent="0.2">
      <c r="A23" s="177" t="s">
        <v>407</v>
      </c>
      <c r="B23" s="158" t="s">
        <v>740</v>
      </c>
      <c r="C23" s="158" t="s">
        <v>741</v>
      </c>
      <c r="D23" s="177" t="s">
        <v>197</v>
      </c>
      <c r="E23" s="178" t="s">
        <v>398</v>
      </c>
      <c r="F23" s="158" t="s">
        <v>757</v>
      </c>
      <c r="G23" s="178" t="s">
        <v>542</v>
      </c>
      <c r="H23" s="178" t="s">
        <v>542</v>
      </c>
      <c r="I23" s="154" t="s">
        <v>758</v>
      </c>
      <c r="J23" s="177" t="s">
        <v>63</v>
      </c>
      <c r="K23" s="178" t="s">
        <v>326</v>
      </c>
      <c r="L23" s="158" t="s">
        <v>246</v>
      </c>
      <c r="M23" s="164" t="s">
        <v>759</v>
      </c>
      <c r="N23" s="158" t="s">
        <v>746</v>
      </c>
      <c r="O23" s="158" t="s">
        <v>760</v>
      </c>
      <c r="P23" s="158" t="s">
        <v>742</v>
      </c>
      <c r="Q23" s="158" t="s">
        <v>325</v>
      </c>
      <c r="R23" s="158" t="s">
        <v>327</v>
      </c>
      <c r="S23" s="158" t="s">
        <v>426</v>
      </c>
      <c r="T23" s="158" t="s">
        <v>561</v>
      </c>
      <c r="U23" s="179" t="s">
        <v>311</v>
      </c>
      <c r="V23" s="180">
        <v>0.2</v>
      </c>
      <c r="W23" s="179" t="s">
        <v>77</v>
      </c>
      <c r="X23" s="180">
        <v>0.8</v>
      </c>
      <c r="Y23" s="66" t="s">
        <v>270</v>
      </c>
      <c r="Z23" s="158" t="s">
        <v>748</v>
      </c>
      <c r="AA23" s="179" t="s">
        <v>311</v>
      </c>
      <c r="AB23" s="182">
        <v>1.8143999999999997E-2</v>
      </c>
      <c r="AC23" s="179" t="s">
        <v>77</v>
      </c>
      <c r="AD23" s="182">
        <v>0.8</v>
      </c>
      <c r="AE23" s="66" t="s">
        <v>270</v>
      </c>
      <c r="AF23" s="158" t="s">
        <v>749</v>
      </c>
      <c r="AG23" s="177" t="s">
        <v>328</v>
      </c>
      <c r="AH23" s="181" t="s">
        <v>761</v>
      </c>
      <c r="AI23" s="181" t="s">
        <v>762</v>
      </c>
      <c r="AJ23" s="181" t="s">
        <v>542</v>
      </c>
      <c r="AK23" s="181" t="s">
        <v>542</v>
      </c>
      <c r="AL23" s="183" t="s">
        <v>763</v>
      </c>
      <c r="AM23" s="181" t="s">
        <v>587</v>
      </c>
      <c r="AN23" s="158" t="s">
        <v>764</v>
      </c>
      <c r="AO23" s="158" t="s">
        <v>765</v>
      </c>
      <c r="AP23" s="158" t="s">
        <v>766</v>
      </c>
      <c r="AQ23" s="159">
        <v>45273</v>
      </c>
      <c r="AR23" s="160" t="s">
        <v>567</v>
      </c>
      <c r="AS23" s="161" t="s">
        <v>767</v>
      </c>
      <c r="AT23" s="162"/>
      <c r="AU23" s="163"/>
      <c r="AV23" s="164"/>
      <c r="AW23" s="162"/>
      <c r="AX23" s="160"/>
      <c r="AY23" s="161"/>
      <c r="AZ23" s="162"/>
      <c r="BA23" s="163"/>
      <c r="BB23" s="164"/>
      <c r="BC23" s="162"/>
      <c r="BD23" s="160"/>
      <c r="BE23" s="161"/>
      <c r="BF23" s="162"/>
      <c r="BG23" s="163"/>
      <c r="BH23" s="164"/>
      <c r="BI23" s="162"/>
      <c r="BJ23" s="160"/>
      <c r="BK23" s="161"/>
      <c r="BL23" s="162"/>
      <c r="BM23" s="163"/>
      <c r="BN23" s="164"/>
      <c r="BO23" s="162"/>
      <c r="BP23" s="160"/>
      <c r="BQ23" s="161"/>
      <c r="BR23" s="162"/>
      <c r="BS23" s="163"/>
      <c r="BT23" s="164"/>
      <c r="BU23" s="162"/>
      <c r="BV23" s="160"/>
      <c r="BW23" s="161"/>
      <c r="BX23" s="162"/>
      <c r="BY23" s="163"/>
      <c r="BZ23" s="165"/>
      <c r="CA23" s="2">
        <f t="shared" si="0"/>
        <v>33</v>
      </c>
      <c r="CB23" s="51" t="s">
        <v>486</v>
      </c>
      <c r="CC23" s="51" t="s">
        <v>487</v>
      </c>
      <c r="CD23" s="51" t="s">
        <v>440</v>
      </c>
      <c r="CE23" s="51" t="s">
        <v>452</v>
      </c>
      <c r="CF23" s="51" t="s">
        <v>432</v>
      </c>
      <c r="CG23" s="51" t="s">
        <v>432</v>
      </c>
      <c r="CH23" s="51" t="s">
        <v>448</v>
      </c>
      <c r="CI23" s="51" t="s">
        <v>432</v>
      </c>
      <c r="CJ23" s="51" t="s">
        <v>452</v>
      </c>
      <c r="CK23" s="51"/>
      <c r="CL23" s="51" t="s">
        <v>452</v>
      </c>
      <c r="CM23" s="51" t="s">
        <v>457</v>
      </c>
      <c r="CN23" s="51" t="s">
        <v>452</v>
      </c>
      <c r="CO23" s="51" t="s">
        <v>452</v>
      </c>
      <c r="CP23" s="51" t="s">
        <v>452</v>
      </c>
      <c r="CQ23" s="51" t="s">
        <v>452</v>
      </c>
      <c r="CR23" s="51" t="s">
        <v>472</v>
      </c>
      <c r="CS23" s="51" t="s">
        <v>452</v>
      </c>
      <c r="CT23" s="51"/>
      <c r="CU23" s="51"/>
      <c r="CV23" s="51"/>
      <c r="CW23" s="51"/>
      <c r="CX23" s="51" t="s">
        <v>452</v>
      </c>
      <c r="CZ23" s="153" t="str">
        <f t="shared" si="1"/>
        <v>Corrupción</v>
      </c>
      <c r="DA23" s="200" t="str">
        <f t="shared" si="2"/>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B23" s="200"/>
      <c r="DC23" s="200"/>
      <c r="DD23" s="200"/>
      <c r="DE23" s="200"/>
      <c r="DF23" s="200"/>
      <c r="DG23" s="200"/>
      <c r="DH23" s="153" t="str">
        <f t="shared" si="3"/>
        <v>Alto</v>
      </c>
      <c r="DI23" s="153" t="str">
        <f t="shared" si="23"/>
        <v>Alto</v>
      </c>
      <c r="DK23" s="149" t="e">
        <f>SUM(LEN(#REF!)-LEN(SUBSTITUTE(#REF!,"- Preventivo","")))/LEN("- Preventivo")</f>
        <v>#REF!</v>
      </c>
      <c r="DL23" s="149" t="e">
        <f t="shared" si="5"/>
        <v>#REF!</v>
      </c>
      <c r="DM23" s="149" t="e">
        <f>SUM(LEN(#REF!)-LEN(SUBSTITUTE(#REF!,"- Detectivo","")))/LEN("- Detectivo")</f>
        <v>#REF!</v>
      </c>
      <c r="DN23" s="149" t="e">
        <f t="shared" si="6"/>
        <v>#REF!</v>
      </c>
      <c r="DO23" s="149" t="e">
        <f>SUM(LEN(#REF!)-LEN(SUBSTITUTE(#REF!,"- Correctivo","")))/LEN("- Correctivo")</f>
        <v>#REF!</v>
      </c>
      <c r="DP23" s="149" t="e">
        <f t="shared" si="7"/>
        <v>#REF!</v>
      </c>
      <c r="DQ23" s="149" t="e">
        <f t="shared" si="8"/>
        <v>#REF!</v>
      </c>
      <c r="DR23" s="149" t="e">
        <f t="shared" si="9"/>
        <v>#REF!</v>
      </c>
      <c r="DS23" s="149" t="e">
        <f>SUM(LEN(#REF!)-LEN(SUBSTITUTE(#REF!,"- Documentado","")))/LEN("- Documentado")</f>
        <v>#REF!</v>
      </c>
      <c r="DT23" s="149" t="e">
        <f>SUM(LEN(#REF!)-LEN(SUBSTITUTE(#REF!,"- Documentado","")))/LEN("- Documentado")</f>
        <v>#REF!</v>
      </c>
      <c r="DU23" s="149" t="e">
        <f t="shared" si="10"/>
        <v>#REF!</v>
      </c>
      <c r="DV23" s="149" t="e">
        <f>SUM(LEN(#REF!)-LEN(SUBSTITUTE(#REF!,"- Continua","")))/LEN("- Continua")</f>
        <v>#REF!</v>
      </c>
      <c r="DW23" s="149" t="e">
        <f>SUM(LEN(#REF!)-LEN(SUBSTITUTE(#REF!,"- Continua","")))/LEN("- Continua")</f>
        <v>#REF!</v>
      </c>
      <c r="DX23" s="149" t="e">
        <f t="shared" si="11"/>
        <v>#REF!</v>
      </c>
      <c r="DY23" s="149" t="e">
        <f>SUM(LEN(#REF!)-LEN(SUBSTITUTE(#REF!,"- Con registro","")))/LEN("- Con registro")</f>
        <v>#REF!</v>
      </c>
      <c r="DZ23" s="149" t="e">
        <f>SUM(LEN(#REF!)-LEN(SUBSTITUTE(#REF!,"- Con registro","")))/LEN("- Con registro")</f>
        <v>#REF!</v>
      </c>
      <c r="EA23" s="149" t="e">
        <f t="shared" si="12"/>
        <v>#REF!</v>
      </c>
      <c r="EB23" s="152" t="e">
        <f t="shared" si="13"/>
        <v>#REF!</v>
      </c>
      <c r="EC23" s="152" t="e">
        <f t="shared" si="14"/>
        <v>#REF!</v>
      </c>
      <c r="ED23" s="184" t="e">
        <f t="shared" si="15"/>
        <v>#REF!</v>
      </c>
      <c r="EE23" s="198" t="e">
        <f t="shared" si="16"/>
        <v>#REF!</v>
      </c>
      <c r="EF23" s="198"/>
      <c r="EG23" s="198"/>
      <c r="EH23" s="198"/>
      <c r="EI23" s="198"/>
      <c r="EJ23" s="198"/>
      <c r="EK23" s="198"/>
      <c r="EL23" s="198"/>
      <c r="EM23" s="198"/>
      <c r="EN23" s="198"/>
      <c r="EP23" s="172">
        <f t="shared" si="17"/>
        <v>45273</v>
      </c>
      <c r="EQ23" s="173">
        <f t="shared" si="18"/>
        <v>45320</v>
      </c>
      <c r="ER23" s="149" t="str">
        <f t="shared" si="19"/>
        <v>Riesgos</v>
      </c>
      <c r="ES23" s="149" t="str">
        <f t="shared" si="20"/>
        <v xml:space="preserve">ID_-: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ET23" s="149" t="str">
        <f t="shared" si="21"/>
        <v>Ajuste en 
Establecimiento de controles
Tratamiento del riesgo en el Mapa de riesgos de Gestión del Talento Humano</v>
      </c>
      <c r="EU23" s="149" t="str">
        <f t="shared" si="22"/>
        <v>Solicitud de cambio realizada y aprobada por la Dirección de Talento Humano a través del Aplicativo DARUMA</v>
      </c>
    </row>
    <row r="24" spans="1:151" ht="399.95" customHeight="1" x14ac:dyDescent="0.2">
      <c r="A24" s="177" t="s">
        <v>407</v>
      </c>
      <c r="B24" s="158" t="s">
        <v>740</v>
      </c>
      <c r="C24" s="158" t="s">
        <v>741</v>
      </c>
      <c r="D24" s="177" t="s">
        <v>197</v>
      </c>
      <c r="E24" s="178" t="s">
        <v>398</v>
      </c>
      <c r="F24" s="158" t="s">
        <v>768</v>
      </c>
      <c r="G24" s="178" t="s">
        <v>542</v>
      </c>
      <c r="H24" s="178" t="s">
        <v>542</v>
      </c>
      <c r="I24" s="154" t="s">
        <v>769</v>
      </c>
      <c r="J24" s="177" t="s">
        <v>63</v>
      </c>
      <c r="K24" s="178" t="s">
        <v>326</v>
      </c>
      <c r="L24" s="158" t="s">
        <v>246</v>
      </c>
      <c r="M24" s="164" t="s">
        <v>770</v>
      </c>
      <c r="N24" s="158" t="s">
        <v>746</v>
      </c>
      <c r="O24" s="158" t="s">
        <v>771</v>
      </c>
      <c r="P24" s="158" t="s">
        <v>330</v>
      </c>
      <c r="Q24" s="158" t="s">
        <v>325</v>
      </c>
      <c r="R24" s="158" t="s">
        <v>327</v>
      </c>
      <c r="S24" s="158" t="s">
        <v>426</v>
      </c>
      <c r="T24" s="158" t="s">
        <v>561</v>
      </c>
      <c r="U24" s="179" t="s">
        <v>311</v>
      </c>
      <c r="V24" s="180">
        <v>0.2</v>
      </c>
      <c r="W24" s="179" t="s">
        <v>77</v>
      </c>
      <c r="X24" s="180">
        <v>0.8</v>
      </c>
      <c r="Y24" s="66" t="s">
        <v>270</v>
      </c>
      <c r="Z24" s="158" t="s">
        <v>340</v>
      </c>
      <c r="AA24" s="179" t="s">
        <v>311</v>
      </c>
      <c r="AB24" s="182">
        <v>5.8799999999999991E-2</v>
      </c>
      <c r="AC24" s="179" t="s">
        <v>77</v>
      </c>
      <c r="AD24" s="182">
        <v>0.8</v>
      </c>
      <c r="AE24" s="66" t="s">
        <v>270</v>
      </c>
      <c r="AF24" s="158" t="s">
        <v>749</v>
      </c>
      <c r="AG24" s="177" t="s">
        <v>328</v>
      </c>
      <c r="AH24" s="181" t="s">
        <v>772</v>
      </c>
      <c r="AI24" s="181" t="s">
        <v>773</v>
      </c>
      <c r="AJ24" s="181" t="s">
        <v>542</v>
      </c>
      <c r="AK24" s="181" t="s">
        <v>542</v>
      </c>
      <c r="AL24" s="181" t="s">
        <v>763</v>
      </c>
      <c r="AM24" s="181" t="s">
        <v>587</v>
      </c>
      <c r="AN24" s="158" t="s">
        <v>774</v>
      </c>
      <c r="AO24" s="158" t="s">
        <v>775</v>
      </c>
      <c r="AP24" s="158" t="s">
        <v>776</v>
      </c>
      <c r="AQ24" s="159">
        <v>45273</v>
      </c>
      <c r="AR24" s="160" t="s">
        <v>567</v>
      </c>
      <c r="AS24" s="161" t="s">
        <v>767</v>
      </c>
      <c r="AT24" s="162"/>
      <c r="AU24" s="163"/>
      <c r="AV24" s="164"/>
      <c r="AW24" s="162"/>
      <c r="AX24" s="160"/>
      <c r="AY24" s="161"/>
      <c r="AZ24" s="162"/>
      <c r="BA24" s="163"/>
      <c r="BB24" s="164"/>
      <c r="BC24" s="162"/>
      <c r="BD24" s="160"/>
      <c r="BE24" s="161"/>
      <c r="BF24" s="162"/>
      <c r="BG24" s="163"/>
      <c r="BH24" s="164"/>
      <c r="BI24" s="162"/>
      <c r="BJ24" s="160"/>
      <c r="BK24" s="161"/>
      <c r="BL24" s="162"/>
      <c r="BM24" s="163"/>
      <c r="BN24" s="164"/>
      <c r="BO24" s="162"/>
      <c r="BP24" s="160"/>
      <c r="BQ24" s="161"/>
      <c r="BR24" s="162"/>
      <c r="BS24" s="163"/>
      <c r="BT24" s="164"/>
      <c r="BU24" s="162"/>
      <c r="BV24" s="160"/>
      <c r="BW24" s="161"/>
      <c r="BX24" s="162"/>
      <c r="BY24" s="163"/>
      <c r="BZ24" s="165"/>
      <c r="CA24" s="2">
        <f t="shared" si="0"/>
        <v>33</v>
      </c>
      <c r="CB24" s="51" t="s">
        <v>486</v>
      </c>
      <c r="CC24" s="51" t="s">
        <v>487</v>
      </c>
      <c r="CD24" s="51" t="s">
        <v>440</v>
      </c>
      <c r="CE24" s="51" t="s">
        <v>452</v>
      </c>
      <c r="CF24" s="51" t="s">
        <v>432</v>
      </c>
      <c r="CG24" s="51" t="s">
        <v>432</v>
      </c>
      <c r="CH24" s="51" t="s">
        <v>448</v>
      </c>
      <c r="CI24" s="51" t="s">
        <v>432</v>
      </c>
      <c r="CJ24" s="51" t="s">
        <v>452</v>
      </c>
      <c r="CK24" s="51"/>
      <c r="CL24" s="51" t="s">
        <v>452</v>
      </c>
      <c r="CM24" s="51" t="s">
        <v>457</v>
      </c>
      <c r="CN24" s="51" t="s">
        <v>452</v>
      </c>
      <c r="CO24" s="51" t="s">
        <v>452</v>
      </c>
      <c r="CP24" s="51" t="s">
        <v>452</v>
      </c>
      <c r="CQ24" s="51" t="s">
        <v>452</v>
      </c>
      <c r="CR24" s="51" t="s">
        <v>473</v>
      </c>
      <c r="CS24" s="51" t="s">
        <v>452</v>
      </c>
      <c r="CT24" s="51"/>
      <c r="CU24" s="51"/>
      <c r="CV24" s="51"/>
      <c r="CW24" s="51"/>
      <c r="CX24" s="51" t="s">
        <v>452</v>
      </c>
      <c r="CZ24" s="153" t="str">
        <f t="shared" si="1"/>
        <v>Corrupción</v>
      </c>
      <c r="DA24" s="200" t="str">
        <f t="shared" si="2"/>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B24" s="200"/>
      <c r="DC24" s="200"/>
      <c r="DD24" s="200"/>
      <c r="DE24" s="200"/>
      <c r="DF24" s="200"/>
      <c r="DG24" s="200"/>
      <c r="DH24" s="153" t="str">
        <f t="shared" si="3"/>
        <v>Alto</v>
      </c>
      <c r="DI24" s="153" t="str">
        <f t="shared" si="23"/>
        <v>Alto</v>
      </c>
      <c r="DK24" s="149" t="e">
        <f>SUM(LEN(#REF!)-LEN(SUBSTITUTE(#REF!,"- Preventivo","")))/LEN("- Preventivo")</f>
        <v>#REF!</v>
      </c>
      <c r="DL24" s="149" t="e">
        <f t="shared" si="5"/>
        <v>#REF!</v>
      </c>
      <c r="DM24" s="149" t="e">
        <f>SUM(LEN(#REF!)-LEN(SUBSTITUTE(#REF!,"- Detectivo","")))/LEN("- Detectivo")</f>
        <v>#REF!</v>
      </c>
      <c r="DN24" s="149" t="e">
        <f t="shared" si="6"/>
        <v>#REF!</v>
      </c>
      <c r="DO24" s="149" t="e">
        <f>SUM(LEN(#REF!)-LEN(SUBSTITUTE(#REF!,"- Correctivo","")))/LEN("- Correctivo")</f>
        <v>#REF!</v>
      </c>
      <c r="DP24" s="149" t="e">
        <f t="shared" si="7"/>
        <v>#REF!</v>
      </c>
      <c r="DQ24" s="149" t="e">
        <f t="shared" si="8"/>
        <v>#REF!</v>
      </c>
      <c r="DR24" s="149" t="e">
        <f t="shared" si="9"/>
        <v>#REF!</v>
      </c>
      <c r="DS24" s="149" t="e">
        <f>SUM(LEN(#REF!)-LEN(SUBSTITUTE(#REF!,"- Documentado","")))/LEN("- Documentado")</f>
        <v>#REF!</v>
      </c>
      <c r="DT24" s="149" t="e">
        <f>SUM(LEN(#REF!)-LEN(SUBSTITUTE(#REF!,"- Documentado","")))/LEN("- Documentado")</f>
        <v>#REF!</v>
      </c>
      <c r="DU24" s="149" t="e">
        <f t="shared" si="10"/>
        <v>#REF!</v>
      </c>
      <c r="DV24" s="149" t="e">
        <f>SUM(LEN(#REF!)-LEN(SUBSTITUTE(#REF!,"- Continua","")))/LEN("- Continua")</f>
        <v>#REF!</v>
      </c>
      <c r="DW24" s="149" t="e">
        <f>SUM(LEN(#REF!)-LEN(SUBSTITUTE(#REF!,"- Continua","")))/LEN("- Continua")</f>
        <v>#REF!</v>
      </c>
      <c r="DX24" s="149" t="e">
        <f t="shared" si="11"/>
        <v>#REF!</v>
      </c>
      <c r="DY24" s="149" t="e">
        <f>SUM(LEN(#REF!)-LEN(SUBSTITUTE(#REF!,"- Con registro","")))/LEN("- Con registro")</f>
        <v>#REF!</v>
      </c>
      <c r="DZ24" s="149" t="e">
        <f>SUM(LEN(#REF!)-LEN(SUBSTITUTE(#REF!,"- Con registro","")))/LEN("- Con registro")</f>
        <v>#REF!</v>
      </c>
      <c r="EA24" s="149" t="e">
        <f t="shared" si="12"/>
        <v>#REF!</v>
      </c>
      <c r="EB24" s="152" t="e">
        <f t="shared" si="13"/>
        <v>#REF!</v>
      </c>
      <c r="EC24" s="152" t="e">
        <f t="shared" si="14"/>
        <v>#REF!</v>
      </c>
      <c r="ED24" s="184" t="e">
        <f t="shared" si="15"/>
        <v>#REF!</v>
      </c>
      <c r="EE24" s="198" t="e">
        <f t="shared" si="16"/>
        <v>#REF!</v>
      </c>
      <c r="EF24" s="198"/>
      <c r="EG24" s="198"/>
      <c r="EH24" s="198"/>
      <c r="EI24" s="198"/>
      <c r="EJ24" s="198"/>
      <c r="EK24" s="198"/>
      <c r="EL24" s="198"/>
      <c r="EM24" s="198"/>
      <c r="EN24" s="198"/>
      <c r="EP24" s="172">
        <f t="shared" si="17"/>
        <v>45273</v>
      </c>
      <c r="EQ24" s="173">
        <f t="shared" si="18"/>
        <v>45320</v>
      </c>
      <c r="ER24" s="149" t="str">
        <f t="shared" si="19"/>
        <v>Riesgos</v>
      </c>
      <c r="ES24" s="149" t="str">
        <f t="shared" si="20"/>
        <v>ID_-: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ET24" s="149" t="str">
        <f t="shared" si="21"/>
        <v>Ajuste en 
Establecimiento de controles
Tratamiento del riesgo en el Mapa de riesgos de Gestión del Talento Humano</v>
      </c>
      <c r="EU24" s="149" t="str">
        <f t="shared" si="22"/>
        <v>Solicitud de cambio realizada y aprobada por la Dirección de Talento Humano a través del Aplicativo DARUMA</v>
      </c>
    </row>
    <row r="25" spans="1:151" ht="399.95" customHeight="1" x14ac:dyDescent="0.2">
      <c r="A25" s="177" t="s">
        <v>274</v>
      </c>
      <c r="B25" s="158" t="s">
        <v>408</v>
      </c>
      <c r="C25" s="158" t="s">
        <v>659</v>
      </c>
      <c r="D25" s="177" t="s">
        <v>409</v>
      </c>
      <c r="E25" s="178" t="s">
        <v>398</v>
      </c>
      <c r="F25" s="158" t="s">
        <v>660</v>
      </c>
      <c r="G25" s="178" t="s">
        <v>542</v>
      </c>
      <c r="H25" s="178" t="s">
        <v>542</v>
      </c>
      <c r="I25" s="154" t="s">
        <v>661</v>
      </c>
      <c r="J25" s="177" t="s">
        <v>63</v>
      </c>
      <c r="K25" s="178" t="s">
        <v>329</v>
      </c>
      <c r="L25" s="158" t="s">
        <v>257</v>
      </c>
      <c r="M25" s="164" t="s">
        <v>372</v>
      </c>
      <c r="N25" s="158" t="s">
        <v>373</v>
      </c>
      <c r="O25" s="158" t="s">
        <v>374</v>
      </c>
      <c r="P25" s="158" t="s">
        <v>410</v>
      </c>
      <c r="Q25" s="158" t="s">
        <v>325</v>
      </c>
      <c r="R25" s="158" t="s">
        <v>375</v>
      </c>
      <c r="S25" s="158" t="s">
        <v>426</v>
      </c>
      <c r="T25" s="158" t="s">
        <v>561</v>
      </c>
      <c r="U25" s="179" t="s">
        <v>311</v>
      </c>
      <c r="V25" s="180">
        <v>0.2</v>
      </c>
      <c r="W25" s="179" t="s">
        <v>51</v>
      </c>
      <c r="X25" s="180">
        <v>1</v>
      </c>
      <c r="Y25" s="66" t="s">
        <v>271</v>
      </c>
      <c r="Z25" s="158" t="s">
        <v>376</v>
      </c>
      <c r="AA25" s="179" t="s">
        <v>311</v>
      </c>
      <c r="AB25" s="182">
        <v>3.5279999999999999E-2</v>
      </c>
      <c r="AC25" s="179" t="s">
        <v>51</v>
      </c>
      <c r="AD25" s="182">
        <v>1</v>
      </c>
      <c r="AE25" s="66" t="s">
        <v>271</v>
      </c>
      <c r="AF25" s="158" t="s">
        <v>364</v>
      </c>
      <c r="AG25" s="177" t="s">
        <v>328</v>
      </c>
      <c r="AH25" s="181" t="s">
        <v>662</v>
      </c>
      <c r="AI25" s="181" t="s">
        <v>663</v>
      </c>
      <c r="AJ25" s="158" t="s">
        <v>542</v>
      </c>
      <c r="AK25" s="181" t="s">
        <v>542</v>
      </c>
      <c r="AL25" s="181" t="s">
        <v>664</v>
      </c>
      <c r="AM25" s="181" t="s">
        <v>665</v>
      </c>
      <c r="AN25" s="158" t="s">
        <v>666</v>
      </c>
      <c r="AO25" s="158" t="s">
        <v>667</v>
      </c>
      <c r="AP25" s="158" t="s">
        <v>668</v>
      </c>
      <c r="AQ25" s="159">
        <v>45261</v>
      </c>
      <c r="AR25" s="160" t="s">
        <v>567</v>
      </c>
      <c r="AS25" s="161" t="s">
        <v>669</v>
      </c>
      <c r="AT25" s="162"/>
      <c r="AU25" s="163"/>
      <c r="AV25" s="164"/>
      <c r="AW25" s="162"/>
      <c r="AX25" s="160"/>
      <c r="AY25" s="161"/>
      <c r="AZ25" s="162"/>
      <c r="BA25" s="163"/>
      <c r="BB25" s="164"/>
      <c r="BC25" s="162"/>
      <c r="BD25" s="160"/>
      <c r="BE25" s="161"/>
      <c r="BF25" s="162"/>
      <c r="BG25" s="163"/>
      <c r="BH25" s="164"/>
      <c r="BI25" s="162"/>
      <c r="BJ25" s="160"/>
      <c r="BK25" s="161"/>
      <c r="BL25" s="162"/>
      <c r="BM25" s="163"/>
      <c r="BN25" s="164"/>
      <c r="BO25" s="162"/>
      <c r="BP25" s="160"/>
      <c r="BQ25" s="161"/>
      <c r="BR25" s="162"/>
      <c r="BS25" s="163"/>
      <c r="BT25" s="164"/>
      <c r="BU25" s="162"/>
      <c r="BV25" s="160"/>
      <c r="BW25" s="161"/>
      <c r="BX25" s="162"/>
      <c r="BY25" s="163"/>
      <c r="BZ25" s="165"/>
      <c r="CA25" s="2">
        <f t="shared" si="0"/>
        <v>33</v>
      </c>
      <c r="CB25" s="51" t="s">
        <v>500</v>
      </c>
      <c r="CC25" s="51" t="s">
        <v>491</v>
      </c>
      <c r="CD25" s="51" t="s">
        <v>441</v>
      </c>
      <c r="CE25" s="51" t="s">
        <v>434</v>
      </c>
      <c r="CF25" s="51" t="s">
        <v>432</v>
      </c>
      <c r="CG25" s="51" t="s">
        <v>432</v>
      </c>
      <c r="CH25" s="51" t="s">
        <v>448</v>
      </c>
      <c r="CI25" s="51" t="s">
        <v>432</v>
      </c>
      <c r="CJ25" s="51" t="s">
        <v>452</v>
      </c>
      <c r="CK25" s="51" t="s">
        <v>454</v>
      </c>
      <c r="CL25" s="51" t="s">
        <v>452</v>
      </c>
      <c r="CM25" s="51" t="s">
        <v>457</v>
      </c>
      <c r="CN25" s="51" t="s">
        <v>452</v>
      </c>
      <c r="CO25" s="51" t="s">
        <v>452</v>
      </c>
      <c r="CP25" s="51" t="s">
        <v>452</v>
      </c>
      <c r="CQ25" s="51" t="s">
        <v>452</v>
      </c>
      <c r="CR25" s="51" t="s">
        <v>474</v>
      </c>
      <c r="CS25" s="51" t="s">
        <v>452</v>
      </c>
      <c r="CT25" s="51" t="s">
        <v>452</v>
      </c>
      <c r="CU25" s="51" t="s">
        <v>452</v>
      </c>
      <c r="CV25" s="51" t="s">
        <v>452</v>
      </c>
      <c r="CW25" s="51" t="s">
        <v>452</v>
      </c>
      <c r="CX25" s="51" t="s">
        <v>452</v>
      </c>
      <c r="CZ25" s="153" t="str">
        <f t="shared" si="1"/>
        <v>Corrupción</v>
      </c>
      <c r="DA25" s="200" t="str">
        <f t="shared" si="2"/>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B25" s="200"/>
      <c r="DC25" s="200"/>
      <c r="DD25" s="200"/>
      <c r="DE25" s="200"/>
      <c r="DF25" s="200"/>
      <c r="DG25" s="200"/>
      <c r="DH25" s="153" t="str">
        <f t="shared" si="3"/>
        <v>Extremo</v>
      </c>
      <c r="DI25" s="153" t="str">
        <f t="shared" si="23"/>
        <v>Extremo</v>
      </c>
      <c r="DK25" s="149" t="e">
        <f>SUM(LEN(#REF!)-LEN(SUBSTITUTE(#REF!,"- Preventivo","")))/LEN("- Preventivo")</f>
        <v>#REF!</v>
      </c>
      <c r="DL25" s="149" t="e">
        <f t="shared" si="5"/>
        <v>#REF!</v>
      </c>
      <c r="DM25" s="149" t="e">
        <f>SUM(LEN(#REF!)-LEN(SUBSTITUTE(#REF!,"- Detectivo","")))/LEN("- Detectivo")</f>
        <v>#REF!</v>
      </c>
      <c r="DN25" s="149" t="e">
        <f t="shared" si="6"/>
        <v>#REF!</v>
      </c>
      <c r="DO25" s="149" t="e">
        <f>SUM(LEN(#REF!)-LEN(SUBSTITUTE(#REF!,"- Correctivo","")))/LEN("- Correctivo")</f>
        <v>#REF!</v>
      </c>
      <c r="DP25" s="149" t="e">
        <f t="shared" si="7"/>
        <v>#REF!</v>
      </c>
      <c r="DQ25" s="149" t="e">
        <f t="shared" si="8"/>
        <v>#REF!</v>
      </c>
      <c r="DR25" s="149" t="e">
        <f t="shared" si="9"/>
        <v>#REF!</v>
      </c>
      <c r="DS25" s="149" t="e">
        <f>SUM(LEN(#REF!)-LEN(SUBSTITUTE(#REF!,"- Documentado","")))/LEN("- Documentado")</f>
        <v>#REF!</v>
      </c>
      <c r="DT25" s="149" t="e">
        <f>SUM(LEN(#REF!)-LEN(SUBSTITUTE(#REF!,"- Documentado","")))/LEN("- Documentado")</f>
        <v>#REF!</v>
      </c>
      <c r="DU25" s="149" t="e">
        <f t="shared" si="10"/>
        <v>#REF!</v>
      </c>
      <c r="DV25" s="149" t="e">
        <f>SUM(LEN(#REF!)-LEN(SUBSTITUTE(#REF!,"- Continua","")))/LEN("- Continua")</f>
        <v>#REF!</v>
      </c>
      <c r="DW25" s="149" t="e">
        <f>SUM(LEN(#REF!)-LEN(SUBSTITUTE(#REF!,"- Continua","")))/LEN("- Continua")</f>
        <v>#REF!</v>
      </c>
      <c r="DX25" s="149" t="e">
        <f t="shared" si="11"/>
        <v>#REF!</v>
      </c>
      <c r="DY25" s="149" t="e">
        <f>SUM(LEN(#REF!)-LEN(SUBSTITUTE(#REF!,"- Con registro","")))/LEN("- Con registro")</f>
        <v>#REF!</v>
      </c>
      <c r="DZ25" s="149" t="e">
        <f>SUM(LEN(#REF!)-LEN(SUBSTITUTE(#REF!,"- Con registro","")))/LEN("- Con registro")</f>
        <v>#REF!</v>
      </c>
      <c r="EA25" s="149" t="e">
        <f t="shared" si="12"/>
        <v>#REF!</v>
      </c>
      <c r="EB25" s="152" t="e">
        <f t="shared" si="13"/>
        <v>#REF!</v>
      </c>
      <c r="EC25" s="152" t="e">
        <f t="shared" si="14"/>
        <v>#REF!</v>
      </c>
      <c r="ED25" s="184" t="e">
        <f t="shared" si="15"/>
        <v>#REF!</v>
      </c>
      <c r="EE25" s="198" t="e">
        <f t="shared" si="16"/>
        <v>#REF!</v>
      </c>
      <c r="EF25" s="198"/>
      <c r="EG25" s="198"/>
      <c r="EH25" s="198"/>
      <c r="EI25" s="198"/>
      <c r="EJ25" s="198"/>
      <c r="EK25" s="198"/>
      <c r="EL25" s="198"/>
      <c r="EM25" s="198"/>
      <c r="EN25" s="198"/>
      <c r="EP25" s="172">
        <f t="shared" si="17"/>
        <v>45261</v>
      </c>
      <c r="EQ25" s="173">
        <f t="shared" si="18"/>
        <v>45320</v>
      </c>
      <c r="ER25" s="149" t="str">
        <f t="shared" si="19"/>
        <v>Riesgos</v>
      </c>
      <c r="ES25" s="149" t="str">
        <f t="shared" si="20"/>
        <v xml:space="preserve">ID_-: 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ET25" s="149" t="str">
        <f t="shared" si="21"/>
        <v>Ajuste en 
Establecimiento de controles
Tratamiento del riesgo en el Mapa de riesgos de Gestión Financiera</v>
      </c>
      <c r="EU25" s="149" t="str">
        <f t="shared" si="22"/>
        <v>Solicitud de cambio realizada y aprobada por la Subdirección Financiera a través del Aplicativo DARUMA</v>
      </c>
    </row>
    <row r="26" spans="1:151" ht="399.95" customHeight="1" x14ac:dyDescent="0.2">
      <c r="A26" s="177" t="s">
        <v>274</v>
      </c>
      <c r="B26" s="158" t="s">
        <v>408</v>
      </c>
      <c r="C26" s="158" t="s">
        <v>659</v>
      </c>
      <c r="D26" s="177" t="s">
        <v>409</v>
      </c>
      <c r="E26" s="178" t="s">
        <v>398</v>
      </c>
      <c r="F26" s="158" t="s">
        <v>670</v>
      </c>
      <c r="G26" s="178" t="s">
        <v>542</v>
      </c>
      <c r="H26" s="178" t="s">
        <v>542</v>
      </c>
      <c r="I26" s="154" t="s">
        <v>733</v>
      </c>
      <c r="J26" s="177" t="s">
        <v>63</v>
      </c>
      <c r="K26" s="178" t="s">
        <v>329</v>
      </c>
      <c r="L26" s="158" t="s">
        <v>257</v>
      </c>
      <c r="M26" s="164" t="s">
        <v>377</v>
      </c>
      <c r="N26" s="158" t="s">
        <v>373</v>
      </c>
      <c r="O26" s="158" t="s">
        <v>378</v>
      </c>
      <c r="P26" s="158" t="s">
        <v>410</v>
      </c>
      <c r="Q26" s="158" t="s">
        <v>325</v>
      </c>
      <c r="R26" s="158" t="s">
        <v>379</v>
      </c>
      <c r="S26" s="158" t="s">
        <v>426</v>
      </c>
      <c r="T26" s="158" t="s">
        <v>561</v>
      </c>
      <c r="U26" s="179" t="s">
        <v>311</v>
      </c>
      <c r="V26" s="180">
        <v>0.2</v>
      </c>
      <c r="W26" s="179" t="s">
        <v>51</v>
      </c>
      <c r="X26" s="180">
        <v>1</v>
      </c>
      <c r="Y26" s="66" t="s">
        <v>271</v>
      </c>
      <c r="Z26" s="158" t="s">
        <v>376</v>
      </c>
      <c r="AA26" s="179" t="s">
        <v>311</v>
      </c>
      <c r="AB26" s="182">
        <v>3.5279999999999992E-2</v>
      </c>
      <c r="AC26" s="179" t="s">
        <v>51</v>
      </c>
      <c r="AD26" s="182">
        <v>1</v>
      </c>
      <c r="AE26" s="66" t="s">
        <v>271</v>
      </c>
      <c r="AF26" s="158" t="s">
        <v>364</v>
      </c>
      <c r="AG26" s="177" t="s">
        <v>328</v>
      </c>
      <c r="AH26" s="181" t="s">
        <v>671</v>
      </c>
      <c r="AI26" s="181" t="s">
        <v>663</v>
      </c>
      <c r="AJ26" s="158" t="s">
        <v>542</v>
      </c>
      <c r="AK26" s="181" t="s">
        <v>542</v>
      </c>
      <c r="AL26" s="181" t="s">
        <v>598</v>
      </c>
      <c r="AM26" s="181" t="s">
        <v>672</v>
      </c>
      <c r="AN26" s="158" t="s">
        <v>673</v>
      </c>
      <c r="AO26" s="158" t="s">
        <v>674</v>
      </c>
      <c r="AP26" s="158" t="s">
        <v>675</v>
      </c>
      <c r="AQ26" s="159">
        <v>45261</v>
      </c>
      <c r="AR26" s="160" t="s">
        <v>567</v>
      </c>
      <c r="AS26" s="161" t="s">
        <v>669</v>
      </c>
      <c r="AT26" s="162"/>
      <c r="AU26" s="163"/>
      <c r="AV26" s="164"/>
      <c r="AW26" s="162"/>
      <c r="AX26" s="160"/>
      <c r="AY26" s="161"/>
      <c r="AZ26" s="162"/>
      <c r="BA26" s="163"/>
      <c r="BB26" s="164"/>
      <c r="BC26" s="162"/>
      <c r="BD26" s="160"/>
      <c r="BE26" s="161"/>
      <c r="BF26" s="162"/>
      <c r="BG26" s="163"/>
      <c r="BH26" s="164"/>
      <c r="BI26" s="162"/>
      <c r="BJ26" s="160"/>
      <c r="BK26" s="161"/>
      <c r="BL26" s="162"/>
      <c r="BM26" s="163"/>
      <c r="BN26" s="164"/>
      <c r="BO26" s="162"/>
      <c r="BP26" s="160"/>
      <c r="BQ26" s="161"/>
      <c r="BR26" s="162"/>
      <c r="BS26" s="163"/>
      <c r="BT26" s="164"/>
      <c r="BU26" s="162"/>
      <c r="BV26" s="160"/>
      <c r="BW26" s="161"/>
      <c r="BX26" s="162"/>
      <c r="BY26" s="163"/>
      <c r="BZ26" s="165"/>
      <c r="CA26" s="2">
        <f t="shared" si="0"/>
        <v>33</v>
      </c>
      <c r="CB26" s="51" t="s">
        <v>500</v>
      </c>
      <c r="CC26" s="51" t="s">
        <v>491</v>
      </c>
      <c r="CD26" s="51" t="s">
        <v>441</v>
      </c>
      <c r="CE26" s="51" t="s">
        <v>434</v>
      </c>
      <c r="CF26" s="51" t="s">
        <v>432</v>
      </c>
      <c r="CG26" s="51" t="s">
        <v>432</v>
      </c>
      <c r="CH26" s="51" t="s">
        <v>448</v>
      </c>
      <c r="CI26" s="51" t="s">
        <v>432</v>
      </c>
      <c r="CJ26" s="51" t="s">
        <v>452</v>
      </c>
      <c r="CK26" s="51" t="s">
        <v>454</v>
      </c>
      <c r="CL26" s="51" t="s">
        <v>452</v>
      </c>
      <c r="CM26" s="51" t="s">
        <v>457</v>
      </c>
      <c r="CN26" s="51" t="s">
        <v>452</v>
      </c>
      <c r="CO26" s="51" t="s">
        <v>452</v>
      </c>
      <c r="CP26" s="51" t="s">
        <v>452</v>
      </c>
      <c r="CQ26" s="51" t="s">
        <v>452</v>
      </c>
      <c r="CR26" s="51" t="s">
        <v>474</v>
      </c>
      <c r="CS26" s="51" t="s">
        <v>452</v>
      </c>
      <c r="CT26" s="51" t="s">
        <v>452</v>
      </c>
      <c r="CU26" s="51" t="s">
        <v>452</v>
      </c>
      <c r="CV26" s="51" t="s">
        <v>452</v>
      </c>
      <c r="CW26" s="51" t="s">
        <v>452</v>
      </c>
      <c r="CX26" s="51" t="s">
        <v>452</v>
      </c>
      <c r="CZ26" s="153" t="str">
        <f t="shared" si="1"/>
        <v>Corrupción</v>
      </c>
      <c r="DA26" s="200" t="str">
        <f t="shared" si="2"/>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B26" s="200"/>
      <c r="DC26" s="200"/>
      <c r="DD26" s="200"/>
      <c r="DE26" s="200"/>
      <c r="DF26" s="200"/>
      <c r="DG26" s="200"/>
      <c r="DH26" s="153" t="str">
        <f t="shared" si="3"/>
        <v>Extremo</v>
      </c>
      <c r="DI26" s="153" t="str">
        <f t="shared" si="23"/>
        <v>Extremo</v>
      </c>
      <c r="DK26" s="149" t="e">
        <f>SUM(LEN(#REF!)-LEN(SUBSTITUTE(#REF!,"- Preventivo","")))/LEN("- Preventivo")</f>
        <v>#REF!</v>
      </c>
      <c r="DL26" s="149" t="e">
        <f t="shared" si="5"/>
        <v>#REF!</v>
      </c>
      <c r="DM26" s="149" t="e">
        <f>SUM(LEN(#REF!)-LEN(SUBSTITUTE(#REF!,"- Detectivo","")))/LEN("- Detectivo")</f>
        <v>#REF!</v>
      </c>
      <c r="DN26" s="149" t="e">
        <f t="shared" si="6"/>
        <v>#REF!</v>
      </c>
      <c r="DO26" s="149" t="e">
        <f>SUM(LEN(#REF!)-LEN(SUBSTITUTE(#REF!,"- Correctivo","")))/LEN("- Correctivo")</f>
        <v>#REF!</v>
      </c>
      <c r="DP26" s="149" t="e">
        <f t="shared" si="7"/>
        <v>#REF!</v>
      </c>
      <c r="DQ26" s="149" t="e">
        <f t="shared" si="8"/>
        <v>#REF!</v>
      </c>
      <c r="DR26" s="149" t="e">
        <f t="shared" si="9"/>
        <v>#REF!</v>
      </c>
      <c r="DS26" s="149" t="e">
        <f>SUM(LEN(#REF!)-LEN(SUBSTITUTE(#REF!,"- Documentado","")))/LEN("- Documentado")</f>
        <v>#REF!</v>
      </c>
      <c r="DT26" s="149" t="e">
        <f>SUM(LEN(#REF!)-LEN(SUBSTITUTE(#REF!,"- Documentado","")))/LEN("- Documentado")</f>
        <v>#REF!</v>
      </c>
      <c r="DU26" s="149" t="e">
        <f t="shared" si="10"/>
        <v>#REF!</v>
      </c>
      <c r="DV26" s="149" t="e">
        <f>SUM(LEN(#REF!)-LEN(SUBSTITUTE(#REF!,"- Continua","")))/LEN("- Continua")</f>
        <v>#REF!</v>
      </c>
      <c r="DW26" s="149" t="e">
        <f>SUM(LEN(#REF!)-LEN(SUBSTITUTE(#REF!,"- Continua","")))/LEN("- Continua")</f>
        <v>#REF!</v>
      </c>
      <c r="DX26" s="149" t="e">
        <f t="shared" si="11"/>
        <v>#REF!</v>
      </c>
      <c r="DY26" s="149" t="e">
        <f>SUM(LEN(#REF!)-LEN(SUBSTITUTE(#REF!,"- Con registro","")))/LEN("- Con registro")</f>
        <v>#REF!</v>
      </c>
      <c r="DZ26" s="149" t="e">
        <f>SUM(LEN(#REF!)-LEN(SUBSTITUTE(#REF!,"- Con registro","")))/LEN("- Con registro")</f>
        <v>#REF!</v>
      </c>
      <c r="EA26" s="149" t="e">
        <f t="shared" si="12"/>
        <v>#REF!</v>
      </c>
      <c r="EB26" s="152" t="e">
        <f t="shared" si="13"/>
        <v>#REF!</v>
      </c>
      <c r="EC26" s="152" t="e">
        <f t="shared" si="14"/>
        <v>#REF!</v>
      </c>
      <c r="ED26" s="184" t="e">
        <f t="shared" si="15"/>
        <v>#REF!</v>
      </c>
      <c r="EE26" s="198" t="e">
        <f t="shared" si="16"/>
        <v>#REF!</v>
      </c>
      <c r="EF26" s="198"/>
      <c r="EG26" s="198"/>
      <c r="EH26" s="198"/>
      <c r="EI26" s="198"/>
      <c r="EJ26" s="198"/>
      <c r="EK26" s="198"/>
      <c r="EL26" s="198"/>
      <c r="EM26" s="198"/>
      <c r="EN26" s="198"/>
      <c r="EP26" s="172">
        <f t="shared" si="17"/>
        <v>45261</v>
      </c>
      <c r="EQ26" s="173">
        <f t="shared" si="18"/>
        <v>45320</v>
      </c>
      <c r="ER26" s="149" t="str">
        <f t="shared" si="19"/>
        <v>Riesgos</v>
      </c>
      <c r="ES26" s="149" t="str">
        <f t="shared" si="20"/>
        <v xml:space="preserve">ID_-: Posibilidad de afectación reputacional por hallazgos y sanciones impuestas por órganos de control, debido a uso indebido de información privilegiada para el inadecuado registro de los hechos económicos, con el fin de obtener beneficios propios o de terceros  </v>
      </c>
      <c r="ET26" s="149" t="str">
        <f t="shared" si="21"/>
        <v>Ajuste en 
Establecimiento de controles
Tratamiento del riesgo en el Mapa de riesgos de Gestión Financiera</v>
      </c>
      <c r="EU26" s="149" t="str">
        <f t="shared" si="22"/>
        <v>Solicitud de cambio realizada y aprobada por la Subdirección Financiera a través del Aplicativo DARUMA</v>
      </c>
    </row>
    <row r="27" spans="1:151" ht="399.95" customHeight="1" x14ac:dyDescent="0.2">
      <c r="A27" s="177" t="s">
        <v>275</v>
      </c>
      <c r="B27" s="158" t="s">
        <v>676</v>
      </c>
      <c r="C27" s="158" t="s">
        <v>677</v>
      </c>
      <c r="D27" s="177" t="s">
        <v>383</v>
      </c>
      <c r="E27" s="178" t="s">
        <v>398</v>
      </c>
      <c r="F27" s="158" t="s">
        <v>678</v>
      </c>
      <c r="G27" s="178" t="s">
        <v>542</v>
      </c>
      <c r="H27" s="178" t="s">
        <v>542</v>
      </c>
      <c r="I27" s="154" t="s">
        <v>679</v>
      </c>
      <c r="J27" s="177" t="s">
        <v>63</v>
      </c>
      <c r="K27" s="178" t="s">
        <v>329</v>
      </c>
      <c r="L27" s="158" t="s">
        <v>680</v>
      </c>
      <c r="M27" s="164" t="s">
        <v>681</v>
      </c>
      <c r="N27" s="158" t="s">
        <v>366</v>
      </c>
      <c r="O27" s="158" t="s">
        <v>682</v>
      </c>
      <c r="P27" s="158" t="s">
        <v>330</v>
      </c>
      <c r="Q27" s="158" t="s">
        <v>325</v>
      </c>
      <c r="R27" s="158" t="s">
        <v>331</v>
      </c>
      <c r="S27" s="158" t="s">
        <v>426</v>
      </c>
      <c r="T27" s="158" t="s">
        <v>561</v>
      </c>
      <c r="U27" s="179" t="s">
        <v>311</v>
      </c>
      <c r="V27" s="180">
        <v>0.2</v>
      </c>
      <c r="W27" s="179" t="s">
        <v>77</v>
      </c>
      <c r="X27" s="180">
        <v>0.8</v>
      </c>
      <c r="Y27" s="66" t="s">
        <v>270</v>
      </c>
      <c r="Z27" s="158" t="s">
        <v>340</v>
      </c>
      <c r="AA27" s="179" t="s">
        <v>311</v>
      </c>
      <c r="AB27" s="182">
        <v>3.0239999999999996E-2</v>
      </c>
      <c r="AC27" s="179" t="s">
        <v>77</v>
      </c>
      <c r="AD27" s="182">
        <v>0.8</v>
      </c>
      <c r="AE27" s="66" t="s">
        <v>270</v>
      </c>
      <c r="AF27" s="158" t="s">
        <v>341</v>
      </c>
      <c r="AG27" s="177" t="s">
        <v>328</v>
      </c>
      <c r="AH27" s="181" t="s">
        <v>683</v>
      </c>
      <c r="AI27" s="181" t="s">
        <v>684</v>
      </c>
      <c r="AJ27" s="158" t="s">
        <v>542</v>
      </c>
      <c r="AK27" s="181" t="s">
        <v>542</v>
      </c>
      <c r="AL27" s="183" t="s">
        <v>726</v>
      </c>
      <c r="AM27" s="183" t="s">
        <v>739</v>
      </c>
      <c r="AN27" s="158" t="s">
        <v>685</v>
      </c>
      <c r="AO27" s="158" t="s">
        <v>686</v>
      </c>
      <c r="AP27" s="158" t="s">
        <v>687</v>
      </c>
      <c r="AQ27" s="159">
        <v>45266</v>
      </c>
      <c r="AR27" s="160" t="s">
        <v>577</v>
      </c>
      <c r="AS27" s="161" t="s">
        <v>688</v>
      </c>
      <c r="AT27" s="162"/>
      <c r="AU27" s="163"/>
      <c r="AV27" s="164"/>
      <c r="AW27" s="162"/>
      <c r="AX27" s="160"/>
      <c r="AY27" s="161"/>
      <c r="AZ27" s="162"/>
      <c r="BA27" s="163"/>
      <c r="BB27" s="164"/>
      <c r="BC27" s="162"/>
      <c r="BD27" s="160"/>
      <c r="BE27" s="161"/>
      <c r="BF27" s="162"/>
      <c r="BG27" s="163"/>
      <c r="BH27" s="164"/>
      <c r="BI27" s="162"/>
      <c r="BJ27" s="160"/>
      <c r="BK27" s="161"/>
      <c r="BL27" s="162"/>
      <c r="BM27" s="163"/>
      <c r="BN27" s="164"/>
      <c r="BO27" s="162"/>
      <c r="BP27" s="160"/>
      <c r="BQ27" s="161"/>
      <c r="BR27" s="162"/>
      <c r="BS27" s="163"/>
      <c r="BT27" s="164"/>
      <c r="BU27" s="162"/>
      <c r="BV27" s="160"/>
      <c r="BW27" s="161"/>
      <c r="BX27" s="162"/>
      <c r="BY27" s="160"/>
      <c r="BZ27" s="165"/>
      <c r="CA27" s="2">
        <f t="shared" si="0"/>
        <v>33</v>
      </c>
      <c r="CB27" s="51" t="s">
        <v>495</v>
      </c>
      <c r="CC27" s="51" t="s">
        <v>496</v>
      </c>
      <c r="CD27" s="51" t="s">
        <v>442</v>
      </c>
      <c r="CE27" s="51" t="s">
        <v>452</v>
      </c>
      <c r="CF27" s="51" t="s">
        <v>432</v>
      </c>
      <c r="CG27" s="51" t="s">
        <v>432</v>
      </c>
      <c r="CH27" s="51" t="s">
        <v>448</v>
      </c>
      <c r="CI27" s="51" t="s">
        <v>432</v>
      </c>
      <c r="CJ27" s="51" t="s">
        <v>452</v>
      </c>
      <c r="CK27" s="51"/>
      <c r="CL27" s="51" t="s">
        <v>452</v>
      </c>
      <c r="CM27" s="51" t="s">
        <v>457</v>
      </c>
      <c r="CN27" s="51" t="s">
        <v>452</v>
      </c>
      <c r="CO27" s="51" t="s">
        <v>452</v>
      </c>
      <c r="CP27" s="51" t="s">
        <v>452</v>
      </c>
      <c r="CQ27" s="51" t="s">
        <v>452</v>
      </c>
      <c r="CR27" s="51" t="s">
        <v>475</v>
      </c>
      <c r="CS27" s="51" t="s">
        <v>452</v>
      </c>
      <c r="CT27" s="51" t="s">
        <v>452</v>
      </c>
      <c r="CU27" s="51" t="s">
        <v>452</v>
      </c>
      <c r="CV27" s="51" t="s">
        <v>452</v>
      </c>
      <c r="CW27" s="51" t="s">
        <v>452</v>
      </c>
      <c r="CX27" s="51" t="s">
        <v>452</v>
      </c>
      <c r="CZ27" s="153" t="str">
        <f t="shared" si="1"/>
        <v>Corrupción</v>
      </c>
      <c r="DA27" s="200" t="str">
        <f t="shared" si="2"/>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DB27" s="200"/>
      <c r="DC27" s="200"/>
      <c r="DD27" s="200"/>
      <c r="DE27" s="200"/>
      <c r="DF27" s="200"/>
      <c r="DG27" s="200"/>
      <c r="DH27" s="153" t="str">
        <f t="shared" si="3"/>
        <v>Alto</v>
      </c>
      <c r="DI27" s="153" t="str">
        <f t="shared" ref="DI27:DI31" si="24">AE27</f>
        <v>Alto</v>
      </c>
      <c r="DK27" s="149" t="e">
        <f>SUM(LEN(#REF!)-LEN(SUBSTITUTE(#REF!,"- Preventivo","")))/LEN("- Preventivo")</f>
        <v>#REF!</v>
      </c>
      <c r="DL27" s="149" t="e">
        <f t="shared" si="5"/>
        <v>#REF!</v>
      </c>
      <c r="DM27" s="149" t="e">
        <f>SUM(LEN(#REF!)-LEN(SUBSTITUTE(#REF!,"- Detectivo","")))/LEN("- Detectivo")</f>
        <v>#REF!</v>
      </c>
      <c r="DN27" s="149" t="e">
        <f t="shared" si="6"/>
        <v>#REF!</v>
      </c>
      <c r="DO27" s="149" t="e">
        <f>SUM(LEN(#REF!)-LEN(SUBSTITUTE(#REF!,"- Correctivo","")))/LEN("- Correctivo")</f>
        <v>#REF!</v>
      </c>
      <c r="DP27" s="149" t="e">
        <f t="shared" si="7"/>
        <v>#REF!</v>
      </c>
      <c r="DQ27" s="149" t="e">
        <f t="shared" si="8"/>
        <v>#REF!</v>
      </c>
      <c r="DR27" s="149" t="e">
        <f t="shared" si="9"/>
        <v>#REF!</v>
      </c>
      <c r="DS27" s="149" t="e">
        <f>SUM(LEN(#REF!)-LEN(SUBSTITUTE(#REF!,"- Documentado","")))/LEN("- Documentado")</f>
        <v>#REF!</v>
      </c>
      <c r="DT27" s="149" t="e">
        <f>SUM(LEN(#REF!)-LEN(SUBSTITUTE(#REF!,"- Documentado","")))/LEN("- Documentado")</f>
        <v>#REF!</v>
      </c>
      <c r="DU27" s="149" t="e">
        <f t="shared" si="10"/>
        <v>#REF!</v>
      </c>
      <c r="DV27" s="149" t="e">
        <f>SUM(LEN(#REF!)-LEN(SUBSTITUTE(#REF!,"- Continua","")))/LEN("- Continua")</f>
        <v>#REF!</v>
      </c>
      <c r="DW27" s="149" t="e">
        <f>SUM(LEN(#REF!)-LEN(SUBSTITUTE(#REF!,"- Continua","")))/LEN("- Continua")</f>
        <v>#REF!</v>
      </c>
      <c r="DX27" s="149" t="e">
        <f t="shared" si="11"/>
        <v>#REF!</v>
      </c>
      <c r="DY27" s="149" t="e">
        <f>SUM(LEN(#REF!)-LEN(SUBSTITUTE(#REF!,"- Con registro","")))/LEN("- Con registro")</f>
        <v>#REF!</v>
      </c>
      <c r="DZ27" s="149" t="e">
        <f>SUM(LEN(#REF!)-LEN(SUBSTITUTE(#REF!,"- Con registro","")))/LEN("- Con registro")</f>
        <v>#REF!</v>
      </c>
      <c r="EA27" s="149" t="e">
        <f t="shared" si="12"/>
        <v>#REF!</v>
      </c>
      <c r="EB27" s="152" t="e">
        <f t="shared" si="13"/>
        <v>#REF!</v>
      </c>
      <c r="EC27" s="152" t="e">
        <f t="shared" si="14"/>
        <v>#REF!</v>
      </c>
      <c r="ED27" s="184" t="e">
        <f t="shared" si="15"/>
        <v>#REF!</v>
      </c>
      <c r="EE27" s="198" t="e">
        <f t="shared" si="16"/>
        <v>#REF!</v>
      </c>
      <c r="EF27" s="198"/>
      <c r="EG27" s="198"/>
      <c r="EH27" s="198"/>
      <c r="EI27" s="198"/>
      <c r="EJ27" s="198"/>
      <c r="EK27" s="198"/>
      <c r="EL27" s="198"/>
      <c r="EM27" s="198"/>
      <c r="EN27" s="198"/>
      <c r="EP27" s="172">
        <f t="shared" si="17"/>
        <v>45266</v>
      </c>
      <c r="EQ27" s="173">
        <f t="shared" si="18"/>
        <v>45320</v>
      </c>
      <c r="ER27" s="149" t="str">
        <f t="shared" si="19"/>
        <v>Riesgos</v>
      </c>
      <c r="ES27" s="149" t="str">
        <f t="shared" si="20"/>
        <v>ID_-: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ET27" s="149" t="str">
        <f t="shared" si="21"/>
        <v>Ajuste en Identificación del riesgo
Establecimiento de controles
Tratamiento del riesgo en el Mapa de riesgos de Gestión Jurídica</v>
      </c>
      <c r="EU27" s="149" t="str">
        <f t="shared" si="22"/>
        <v>Solicitud de cambio realizada y aprobada por la Oficina Jurídica  a través del Aplicativo DARUMA</v>
      </c>
    </row>
    <row r="28" spans="1:151" ht="399.95" customHeight="1" x14ac:dyDescent="0.2">
      <c r="A28" s="177" t="s">
        <v>411</v>
      </c>
      <c r="B28" s="158" t="s">
        <v>412</v>
      </c>
      <c r="C28" s="158" t="s">
        <v>413</v>
      </c>
      <c r="D28" s="177" t="s">
        <v>689</v>
      </c>
      <c r="E28" s="178" t="s">
        <v>38</v>
      </c>
      <c r="F28" s="158" t="s">
        <v>414</v>
      </c>
      <c r="G28" s="178" t="s">
        <v>542</v>
      </c>
      <c r="H28" s="178" t="s">
        <v>542</v>
      </c>
      <c r="I28" s="154" t="s">
        <v>693</v>
      </c>
      <c r="J28" s="177" t="s">
        <v>63</v>
      </c>
      <c r="K28" s="178" t="s">
        <v>326</v>
      </c>
      <c r="L28" s="158" t="s">
        <v>690</v>
      </c>
      <c r="M28" s="164" t="s">
        <v>356</v>
      </c>
      <c r="N28" s="158" t="s">
        <v>355</v>
      </c>
      <c r="O28" s="158" t="s">
        <v>694</v>
      </c>
      <c r="P28" s="158" t="s">
        <v>353</v>
      </c>
      <c r="Q28" s="158" t="s">
        <v>691</v>
      </c>
      <c r="R28" s="158" t="s">
        <v>695</v>
      </c>
      <c r="S28" s="158" t="s">
        <v>426</v>
      </c>
      <c r="T28" s="158" t="s">
        <v>561</v>
      </c>
      <c r="U28" s="179" t="s">
        <v>311</v>
      </c>
      <c r="V28" s="180">
        <v>0.2</v>
      </c>
      <c r="W28" s="179" t="s">
        <v>77</v>
      </c>
      <c r="X28" s="180">
        <v>0.8</v>
      </c>
      <c r="Y28" s="66" t="s">
        <v>270</v>
      </c>
      <c r="Z28" s="158" t="s">
        <v>696</v>
      </c>
      <c r="AA28" s="179" t="s">
        <v>311</v>
      </c>
      <c r="AB28" s="182">
        <v>5.8799999999999991E-2</v>
      </c>
      <c r="AC28" s="179" t="s">
        <v>77</v>
      </c>
      <c r="AD28" s="182">
        <v>0.8</v>
      </c>
      <c r="AE28" s="66" t="s">
        <v>270</v>
      </c>
      <c r="AF28" s="158" t="s">
        <v>357</v>
      </c>
      <c r="AG28" s="177" t="s">
        <v>328</v>
      </c>
      <c r="AH28" s="181" t="s">
        <v>697</v>
      </c>
      <c r="AI28" s="181" t="s">
        <v>698</v>
      </c>
      <c r="AJ28" s="181" t="s">
        <v>542</v>
      </c>
      <c r="AK28" s="181" t="s">
        <v>542</v>
      </c>
      <c r="AL28" s="181" t="s">
        <v>726</v>
      </c>
      <c r="AM28" s="181" t="s">
        <v>587</v>
      </c>
      <c r="AN28" s="158" t="s">
        <v>699</v>
      </c>
      <c r="AO28" s="158" t="s">
        <v>700</v>
      </c>
      <c r="AP28" s="158" t="s">
        <v>701</v>
      </c>
      <c r="AQ28" s="159">
        <v>45253</v>
      </c>
      <c r="AR28" s="160" t="s">
        <v>342</v>
      </c>
      <c r="AS28" s="161" t="s">
        <v>702</v>
      </c>
      <c r="AT28" s="162"/>
      <c r="AU28" s="163"/>
      <c r="AV28" s="164"/>
      <c r="AW28" s="162"/>
      <c r="AX28" s="160"/>
      <c r="AY28" s="161"/>
      <c r="AZ28" s="162"/>
      <c r="BA28" s="163"/>
      <c r="BB28" s="164"/>
      <c r="BC28" s="162"/>
      <c r="BD28" s="160"/>
      <c r="BE28" s="161"/>
      <c r="BF28" s="162"/>
      <c r="BG28" s="163"/>
      <c r="BH28" s="164"/>
      <c r="BI28" s="162"/>
      <c r="BJ28" s="160"/>
      <c r="BK28" s="161"/>
      <c r="BL28" s="162"/>
      <c r="BM28" s="163"/>
      <c r="BN28" s="164"/>
      <c r="BO28" s="162"/>
      <c r="BP28" s="160"/>
      <c r="BQ28" s="161"/>
      <c r="BR28" s="162"/>
      <c r="BS28" s="163"/>
      <c r="BT28" s="164"/>
      <c r="BU28" s="162"/>
      <c r="BV28" s="160"/>
      <c r="BW28" s="161"/>
      <c r="BX28" s="162"/>
      <c r="BY28" s="163"/>
      <c r="BZ28" s="165"/>
      <c r="CA28" s="2">
        <f t="shared" si="0"/>
        <v>33</v>
      </c>
      <c r="CB28" s="51" t="s">
        <v>482</v>
      </c>
      <c r="CC28" s="51" t="s">
        <v>483</v>
      </c>
      <c r="CD28" s="51" t="s">
        <v>443</v>
      </c>
      <c r="CE28" s="51" t="s">
        <v>452</v>
      </c>
      <c r="CF28" s="51" t="s">
        <v>432</v>
      </c>
      <c r="CG28" s="51" t="s">
        <v>432</v>
      </c>
      <c r="CH28" s="51" t="s">
        <v>448</v>
      </c>
      <c r="CI28" s="51" t="s">
        <v>432</v>
      </c>
      <c r="CJ28" s="51" t="s">
        <v>452</v>
      </c>
      <c r="CK28" s="51"/>
      <c r="CL28" s="51" t="s">
        <v>452</v>
      </c>
      <c r="CM28" s="51" t="s">
        <v>457</v>
      </c>
      <c r="CN28" s="51" t="s">
        <v>452</v>
      </c>
      <c r="CO28" s="51" t="s">
        <v>452</v>
      </c>
      <c r="CP28" s="51" t="s">
        <v>452</v>
      </c>
      <c r="CQ28" s="51" t="s">
        <v>452</v>
      </c>
      <c r="CR28" s="51" t="s">
        <v>476</v>
      </c>
      <c r="CS28" s="51" t="s">
        <v>452</v>
      </c>
      <c r="CT28" s="51" t="s">
        <v>452</v>
      </c>
      <c r="CU28" s="51" t="s">
        <v>452</v>
      </c>
      <c r="CV28" s="51" t="s">
        <v>452</v>
      </c>
      <c r="CW28" s="51" t="s">
        <v>452</v>
      </c>
      <c r="CX28" s="51" t="s">
        <v>452</v>
      </c>
      <c r="CZ28" s="153" t="str">
        <f t="shared" si="1"/>
        <v>Corrupción</v>
      </c>
      <c r="DA28" s="200" t="str">
        <f t="shared" si="2"/>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DB28" s="200"/>
      <c r="DC28" s="200"/>
      <c r="DD28" s="200"/>
      <c r="DE28" s="200"/>
      <c r="DF28" s="200"/>
      <c r="DG28" s="200"/>
      <c r="DH28" s="153" t="str">
        <f t="shared" si="3"/>
        <v>Alto</v>
      </c>
      <c r="DI28" s="153" t="str">
        <f t="shared" si="24"/>
        <v>Alto</v>
      </c>
      <c r="DK28" s="149" t="e">
        <f>SUM(LEN(#REF!)-LEN(SUBSTITUTE(#REF!,"- Preventivo","")))/LEN("- Preventivo")</f>
        <v>#REF!</v>
      </c>
      <c r="DL28" s="149" t="e">
        <f t="shared" si="5"/>
        <v>#REF!</v>
      </c>
      <c r="DM28" s="149" t="e">
        <f>SUM(LEN(#REF!)-LEN(SUBSTITUTE(#REF!,"- Detectivo","")))/LEN("- Detectivo")</f>
        <v>#REF!</v>
      </c>
      <c r="DN28" s="149" t="e">
        <f t="shared" si="6"/>
        <v>#REF!</v>
      </c>
      <c r="DO28" s="149" t="e">
        <f>SUM(LEN(#REF!)-LEN(SUBSTITUTE(#REF!,"- Correctivo","")))/LEN("- Correctivo")</f>
        <v>#REF!</v>
      </c>
      <c r="DP28" s="149" t="e">
        <f t="shared" si="7"/>
        <v>#REF!</v>
      </c>
      <c r="DQ28" s="149" t="e">
        <f t="shared" ref="DQ28:DQ31" si="25">DK28+DM28+DO28</f>
        <v>#REF!</v>
      </c>
      <c r="DR28" s="149" t="e">
        <f t="shared" si="9"/>
        <v>#REF!</v>
      </c>
      <c r="DS28" s="149" t="e">
        <f>SUM(LEN(#REF!)-LEN(SUBSTITUTE(#REF!,"- Documentado","")))/LEN("- Documentado")</f>
        <v>#REF!</v>
      </c>
      <c r="DT28" s="149" t="e">
        <f>SUM(LEN(#REF!)-LEN(SUBSTITUTE(#REF!,"- Documentado","")))/LEN("- Documentado")</f>
        <v>#REF!</v>
      </c>
      <c r="DU28" s="149" t="e">
        <f t="shared" si="10"/>
        <v>#REF!</v>
      </c>
      <c r="DV28" s="149" t="e">
        <f>SUM(LEN(#REF!)-LEN(SUBSTITUTE(#REF!,"- Continua","")))/LEN("- Continua")</f>
        <v>#REF!</v>
      </c>
      <c r="DW28" s="149" t="e">
        <f>SUM(LEN(#REF!)-LEN(SUBSTITUTE(#REF!,"- Continua","")))/LEN("- Continua")</f>
        <v>#REF!</v>
      </c>
      <c r="DX28" s="149" t="e">
        <f t="shared" si="11"/>
        <v>#REF!</v>
      </c>
      <c r="DY28" s="149" t="e">
        <f>SUM(LEN(#REF!)-LEN(SUBSTITUTE(#REF!,"- Con registro","")))/LEN("- Con registro")</f>
        <v>#REF!</v>
      </c>
      <c r="DZ28" s="149" t="e">
        <f>SUM(LEN(#REF!)-LEN(SUBSTITUTE(#REF!,"- Con registro","")))/LEN("- Con registro")</f>
        <v>#REF!</v>
      </c>
      <c r="EA28" s="149" t="e">
        <f t="shared" si="12"/>
        <v>#REF!</v>
      </c>
      <c r="EB28" s="152" t="e">
        <f t="shared" ref="EB28:EB31" si="26">CONCATENATE("El proceso estableció ",DR28," controles frente a los riesgos identificados, de los cuales:
")</f>
        <v>#REF!</v>
      </c>
      <c r="EC28" s="152" t="e">
        <f t="shared" ref="EC28:EC31" si="27">CONCATENATE("- ",DL28," son preventivos, ",DN28," detectivos y ",DP28," correctivos.
")</f>
        <v>#REF!</v>
      </c>
      <c r="ED28" s="184" t="e">
        <f t="shared" ref="ED28:ED31" si="28">CONCATENATE("- ",DU28," están documentados, ",DX28," se aplican continuamente de acuerdo con la periodicidad establecida y en ",EA28," se deja registro de la aplicación.")</f>
        <v>#REF!</v>
      </c>
      <c r="EE28" s="198" t="e">
        <f t="shared" ref="EE28:EE31" si="29">CONCATENATE(EB28,EC28,ED28)</f>
        <v>#REF!</v>
      </c>
      <c r="EF28" s="198"/>
      <c r="EG28" s="198"/>
      <c r="EH28" s="198"/>
      <c r="EI28" s="198"/>
      <c r="EJ28" s="198"/>
      <c r="EK28" s="198"/>
      <c r="EL28" s="198"/>
      <c r="EM28" s="198"/>
      <c r="EN28" s="198"/>
      <c r="EP28" s="172">
        <f t="shared" ref="EP28:EP31" si="30">IF(AQ28&gt;=$EP$1,AQ28,IF(AT28&gt;=$EP$1,AT28,IF(AW28&gt;=$EP$1,AW28,IF(AZ28&gt;=$EP$1,AZ28,IF(BC28&gt;=$EP$1,BC28,IF(BF28&gt;=$EP$1,BF28,IF(BI28&gt;=$EP$1,BI28,IF(BL28&gt;=$EP$1,BL28,IF(BO28&gt;=$EP$1,BO28,IF(BR28&gt;=$EP$1,BR28,IF(BU28&gt;=$EP$1,BU28,IF(BX28&gt;=$EP$1,BX28,""))))))))))))</f>
        <v>45253</v>
      </c>
      <c r="EQ28" s="173">
        <f t="shared" ref="EQ28:EQ31" si="31">IF(EP28="","",$B$6)</f>
        <v>45320</v>
      </c>
      <c r="ER28" s="149" t="str">
        <f t="shared" ref="ER28:ER31" si="32">IF(EQ28="","","Riesgos")</f>
        <v>Riesgos</v>
      </c>
      <c r="ES28" s="149" t="str">
        <f t="shared" si="20"/>
        <v>ID_-: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ET28" s="149" t="str">
        <f t="shared" si="21"/>
        <v>Ajuste en Identificación del riesgo
Análisis antes de controles
Tratamiento del riesgo en el Mapa de riesgos de Gobierno Abierto y Relacionamiento con la Ciudadanía</v>
      </c>
      <c r="EU28" s="149" t="str">
        <f t="shared" si="22"/>
        <v>Solicitud de cambio realizada y aprobada por la Dirección del Sistema Distrital de Servicio a la Ciudadanía a través del Aplicativo DARUMA</v>
      </c>
    </row>
    <row r="29" spans="1:151" ht="399.95" customHeight="1" x14ac:dyDescent="0.2">
      <c r="A29" s="177" t="s">
        <v>411</v>
      </c>
      <c r="B29" s="158" t="s">
        <v>412</v>
      </c>
      <c r="C29" s="158" t="s">
        <v>413</v>
      </c>
      <c r="D29" s="177" t="s">
        <v>689</v>
      </c>
      <c r="E29" s="178" t="s">
        <v>38</v>
      </c>
      <c r="F29" s="158" t="s">
        <v>415</v>
      </c>
      <c r="G29" s="178" t="s">
        <v>542</v>
      </c>
      <c r="H29" s="178" t="s">
        <v>542</v>
      </c>
      <c r="I29" s="154" t="s">
        <v>358</v>
      </c>
      <c r="J29" s="177" t="s">
        <v>63</v>
      </c>
      <c r="K29" s="178" t="s">
        <v>324</v>
      </c>
      <c r="L29" s="158" t="s">
        <v>692</v>
      </c>
      <c r="M29" s="164" t="s">
        <v>354</v>
      </c>
      <c r="N29" s="158" t="s">
        <v>355</v>
      </c>
      <c r="O29" s="158" t="s">
        <v>359</v>
      </c>
      <c r="P29" s="158" t="s">
        <v>353</v>
      </c>
      <c r="Q29" s="158" t="s">
        <v>325</v>
      </c>
      <c r="R29" s="158" t="s">
        <v>347</v>
      </c>
      <c r="S29" s="158" t="s">
        <v>426</v>
      </c>
      <c r="T29" s="158" t="s">
        <v>561</v>
      </c>
      <c r="U29" s="179" t="s">
        <v>311</v>
      </c>
      <c r="V29" s="180">
        <v>0.2</v>
      </c>
      <c r="W29" s="179" t="s">
        <v>101</v>
      </c>
      <c r="X29" s="180">
        <v>0.6</v>
      </c>
      <c r="Y29" s="66" t="s">
        <v>84</v>
      </c>
      <c r="Z29" s="158" t="s">
        <v>360</v>
      </c>
      <c r="AA29" s="179" t="s">
        <v>311</v>
      </c>
      <c r="AB29" s="182">
        <v>8.3999999999999991E-2</v>
      </c>
      <c r="AC29" s="179" t="s">
        <v>101</v>
      </c>
      <c r="AD29" s="182">
        <v>0.6</v>
      </c>
      <c r="AE29" s="66" t="s">
        <v>84</v>
      </c>
      <c r="AF29" s="158" t="s">
        <v>361</v>
      </c>
      <c r="AG29" s="177" t="s">
        <v>328</v>
      </c>
      <c r="AH29" s="181" t="s">
        <v>703</v>
      </c>
      <c r="AI29" s="181" t="s">
        <v>704</v>
      </c>
      <c r="AJ29" s="181" t="s">
        <v>542</v>
      </c>
      <c r="AK29" s="181" t="s">
        <v>542</v>
      </c>
      <c r="AL29" s="181" t="s">
        <v>726</v>
      </c>
      <c r="AM29" s="181" t="s">
        <v>665</v>
      </c>
      <c r="AN29" s="158" t="s">
        <v>705</v>
      </c>
      <c r="AO29" s="158" t="s">
        <v>706</v>
      </c>
      <c r="AP29" s="158" t="s">
        <v>707</v>
      </c>
      <c r="AQ29" s="159">
        <v>45253</v>
      </c>
      <c r="AR29" s="160" t="s">
        <v>336</v>
      </c>
      <c r="AS29" s="161" t="s">
        <v>708</v>
      </c>
      <c r="AT29" s="162"/>
      <c r="AU29" s="163"/>
      <c r="AV29" s="164"/>
      <c r="AW29" s="162"/>
      <c r="AX29" s="160"/>
      <c r="AY29" s="161"/>
      <c r="AZ29" s="162"/>
      <c r="BA29" s="163"/>
      <c r="BB29" s="164"/>
      <c r="BC29" s="162"/>
      <c r="BD29" s="160"/>
      <c r="BE29" s="161"/>
      <c r="BF29" s="162"/>
      <c r="BG29" s="163"/>
      <c r="BH29" s="164"/>
      <c r="BI29" s="162"/>
      <c r="BJ29" s="160"/>
      <c r="BK29" s="161"/>
      <c r="BL29" s="162"/>
      <c r="BM29" s="163"/>
      <c r="BN29" s="164"/>
      <c r="BO29" s="162"/>
      <c r="BP29" s="160"/>
      <c r="BQ29" s="161"/>
      <c r="BR29" s="162"/>
      <c r="BS29" s="160"/>
      <c r="BT29" s="161"/>
      <c r="BU29" s="162"/>
      <c r="BV29" s="160"/>
      <c r="BW29" s="161"/>
      <c r="BX29" s="162"/>
      <c r="BY29" s="163"/>
      <c r="BZ29" s="165"/>
      <c r="CA29" s="2">
        <f t="shared" si="0"/>
        <v>33</v>
      </c>
      <c r="CB29" s="51" t="s">
        <v>482</v>
      </c>
      <c r="CC29" s="51" t="s">
        <v>483</v>
      </c>
      <c r="CD29" s="51" t="s">
        <v>443</v>
      </c>
      <c r="CE29" s="51" t="s">
        <v>452</v>
      </c>
      <c r="CF29" s="51" t="s">
        <v>432</v>
      </c>
      <c r="CG29" s="51" t="s">
        <v>432</v>
      </c>
      <c r="CH29" s="51" t="s">
        <v>448</v>
      </c>
      <c r="CI29" s="51" t="s">
        <v>432</v>
      </c>
      <c r="CJ29" s="51" t="s">
        <v>452</v>
      </c>
      <c r="CK29" s="51"/>
      <c r="CL29" s="51" t="s">
        <v>452</v>
      </c>
      <c r="CM29" s="51" t="s">
        <v>457</v>
      </c>
      <c r="CN29" s="51" t="s">
        <v>452</v>
      </c>
      <c r="CO29" s="51" t="s">
        <v>452</v>
      </c>
      <c r="CP29" s="51" t="s">
        <v>452</v>
      </c>
      <c r="CQ29" s="51" t="s">
        <v>452</v>
      </c>
      <c r="CR29" s="51" t="s">
        <v>477</v>
      </c>
      <c r="CS29" s="51" t="s">
        <v>452</v>
      </c>
      <c r="CT29" s="51" t="s">
        <v>452</v>
      </c>
      <c r="CU29" s="51" t="s">
        <v>452</v>
      </c>
      <c r="CV29" s="51" t="s">
        <v>452</v>
      </c>
      <c r="CW29" s="51" t="s">
        <v>452</v>
      </c>
      <c r="CX29" s="51" t="s">
        <v>452</v>
      </c>
      <c r="CZ29" s="153" t="str">
        <f t="shared" si="1"/>
        <v>Corrupción</v>
      </c>
      <c r="DA29" s="200" t="str">
        <f t="shared" si="2"/>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B29" s="200"/>
      <c r="DC29" s="200"/>
      <c r="DD29" s="200"/>
      <c r="DE29" s="200"/>
      <c r="DF29" s="200"/>
      <c r="DG29" s="200"/>
      <c r="DH29" s="153" t="str">
        <f t="shared" si="3"/>
        <v>Moderado</v>
      </c>
      <c r="DI29" s="153" t="str">
        <f t="shared" si="24"/>
        <v>Moderado</v>
      </c>
      <c r="DK29" s="149" t="e">
        <f>SUM(LEN(#REF!)-LEN(SUBSTITUTE(#REF!,"- Preventivo","")))/LEN("- Preventivo")</f>
        <v>#REF!</v>
      </c>
      <c r="DL29" s="149" t="e">
        <f t="shared" si="5"/>
        <v>#REF!</v>
      </c>
      <c r="DM29" s="149" t="e">
        <f>SUM(LEN(#REF!)-LEN(SUBSTITUTE(#REF!,"- Detectivo","")))/LEN("- Detectivo")</f>
        <v>#REF!</v>
      </c>
      <c r="DN29" s="149" t="e">
        <f t="shared" si="6"/>
        <v>#REF!</v>
      </c>
      <c r="DO29" s="149" t="e">
        <f>SUM(LEN(#REF!)-LEN(SUBSTITUTE(#REF!,"- Correctivo","")))/LEN("- Correctivo")</f>
        <v>#REF!</v>
      </c>
      <c r="DP29" s="149" t="e">
        <f t="shared" si="7"/>
        <v>#REF!</v>
      </c>
      <c r="DQ29" s="149" t="e">
        <f t="shared" si="25"/>
        <v>#REF!</v>
      </c>
      <c r="DR29" s="149" t="e">
        <f t="shared" si="9"/>
        <v>#REF!</v>
      </c>
      <c r="DS29" s="149" t="e">
        <f>SUM(LEN(#REF!)-LEN(SUBSTITUTE(#REF!,"- Documentado","")))/LEN("- Documentado")</f>
        <v>#REF!</v>
      </c>
      <c r="DT29" s="149" t="e">
        <f>SUM(LEN(#REF!)-LEN(SUBSTITUTE(#REF!,"- Documentado","")))/LEN("- Documentado")</f>
        <v>#REF!</v>
      </c>
      <c r="DU29" s="149" t="e">
        <f t="shared" si="10"/>
        <v>#REF!</v>
      </c>
      <c r="DV29" s="149" t="e">
        <f>SUM(LEN(#REF!)-LEN(SUBSTITUTE(#REF!,"- Continua","")))/LEN("- Continua")</f>
        <v>#REF!</v>
      </c>
      <c r="DW29" s="149" t="e">
        <f>SUM(LEN(#REF!)-LEN(SUBSTITUTE(#REF!,"- Continua","")))/LEN("- Continua")</f>
        <v>#REF!</v>
      </c>
      <c r="DX29" s="149" t="e">
        <f t="shared" si="11"/>
        <v>#REF!</v>
      </c>
      <c r="DY29" s="149" t="e">
        <f>SUM(LEN(#REF!)-LEN(SUBSTITUTE(#REF!,"- Con registro","")))/LEN("- Con registro")</f>
        <v>#REF!</v>
      </c>
      <c r="DZ29" s="149" t="e">
        <f>SUM(LEN(#REF!)-LEN(SUBSTITUTE(#REF!,"- Con registro","")))/LEN("- Con registro")</f>
        <v>#REF!</v>
      </c>
      <c r="EA29" s="149" t="e">
        <f t="shared" si="12"/>
        <v>#REF!</v>
      </c>
      <c r="EB29" s="152" t="e">
        <f t="shared" si="26"/>
        <v>#REF!</v>
      </c>
      <c r="EC29" s="152" t="e">
        <f t="shared" si="27"/>
        <v>#REF!</v>
      </c>
      <c r="ED29" s="184" t="e">
        <f t="shared" si="28"/>
        <v>#REF!</v>
      </c>
      <c r="EE29" s="198" t="e">
        <f t="shared" si="29"/>
        <v>#REF!</v>
      </c>
      <c r="EF29" s="198"/>
      <c r="EG29" s="198"/>
      <c r="EH29" s="198"/>
      <c r="EI29" s="198"/>
      <c r="EJ29" s="198"/>
      <c r="EK29" s="198"/>
      <c r="EL29" s="198"/>
      <c r="EM29" s="198"/>
      <c r="EN29" s="198"/>
      <c r="EP29" s="172">
        <f t="shared" si="30"/>
        <v>45253</v>
      </c>
      <c r="EQ29" s="173">
        <f t="shared" si="31"/>
        <v>45320</v>
      </c>
      <c r="ER29" s="149" t="str">
        <f t="shared" si="32"/>
        <v>Riesgos</v>
      </c>
      <c r="ES29" s="149" t="str">
        <f t="shared" si="20"/>
        <v>ID_-: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ET29" s="149" t="str">
        <f t="shared" si="21"/>
        <v>Ajuste en 
Tratamiento del riesgo en el Mapa de riesgos de Gobierno Abierto y Relacionamiento con la Ciudadanía</v>
      </c>
      <c r="EU29" s="149" t="str">
        <f t="shared" si="22"/>
        <v>Solicitud de cambio realizada y aprobada por la Dirección Distrital de Calidad del Servicio  a través del Aplicativo DARUMA</v>
      </c>
    </row>
    <row r="30" spans="1:151" ht="399.95" customHeight="1" x14ac:dyDescent="0.2">
      <c r="A30" s="177" t="s">
        <v>411</v>
      </c>
      <c r="B30" s="158" t="s">
        <v>412</v>
      </c>
      <c r="C30" s="158" t="s">
        <v>413</v>
      </c>
      <c r="D30" s="177" t="s">
        <v>689</v>
      </c>
      <c r="E30" s="178" t="s">
        <v>38</v>
      </c>
      <c r="F30" s="158" t="s">
        <v>416</v>
      </c>
      <c r="G30" s="178" t="s">
        <v>542</v>
      </c>
      <c r="H30" s="178" t="s">
        <v>542</v>
      </c>
      <c r="I30" s="154" t="s">
        <v>711</v>
      </c>
      <c r="J30" s="177" t="s">
        <v>63</v>
      </c>
      <c r="K30" s="178" t="s">
        <v>326</v>
      </c>
      <c r="L30" s="158" t="s">
        <v>709</v>
      </c>
      <c r="M30" s="164" t="s">
        <v>354</v>
      </c>
      <c r="N30" s="158" t="s">
        <v>355</v>
      </c>
      <c r="O30" s="158" t="s">
        <v>417</v>
      </c>
      <c r="P30" s="158" t="s">
        <v>353</v>
      </c>
      <c r="Q30" s="158" t="s">
        <v>710</v>
      </c>
      <c r="R30" s="158" t="s">
        <v>327</v>
      </c>
      <c r="S30" s="158" t="s">
        <v>426</v>
      </c>
      <c r="T30" s="158" t="s">
        <v>561</v>
      </c>
      <c r="U30" s="179" t="s">
        <v>311</v>
      </c>
      <c r="V30" s="180">
        <v>0.2</v>
      </c>
      <c r="W30" s="179" t="s">
        <v>51</v>
      </c>
      <c r="X30" s="180">
        <v>1</v>
      </c>
      <c r="Y30" s="66" t="s">
        <v>271</v>
      </c>
      <c r="Z30" s="158" t="s">
        <v>712</v>
      </c>
      <c r="AA30" s="179" t="s">
        <v>311</v>
      </c>
      <c r="AB30" s="182">
        <v>5.04E-2</v>
      </c>
      <c r="AC30" s="179" t="s">
        <v>51</v>
      </c>
      <c r="AD30" s="182">
        <v>1</v>
      </c>
      <c r="AE30" s="66" t="s">
        <v>271</v>
      </c>
      <c r="AF30" s="158" t="s">
        <v>713</v>
      </c>
      <c r="AG30" s="177" t="s">
        <v>328</v>
      </c>
      <c r="AH30" s="181" t="s">
        <v>714</v>
      </c>
      <c r="AI30" s="181" t="s">
        <v>715</v>
      </c>
      <c r="AJ30" s="158" t="s">
        <v>542</v>
      </c>
      <c r="AK30" s="181" t="s">
        <v>542</v>
      </c>
      <c r="AL30" s="181" t="s">
        <v>726</v>
      </c>
      <c r="AM30" s="181" t="s">
        <v>587</v>
      </c>
      <c r="AN30" s="158" t="s">
        <v>716</v>
      </c>
      <c r="AO30" s="158" t="s">
        <v>717</v>
      </c>
      <c r="AP30" s="158" t="s">
        <v>718</v>
      </c>
      <c r="AQ30" s="159">
        <v>45253</v>
      </c>
      <c r="AR30" s="160" t="s">
        <v>342</v>
      </c>
      <c r="AS30" s="161" t="s">
        <v>719</v>
      </c>
      <c r="AT30" s="162"/>
      <c r="AU30" s="163"/>
      <c r="AV30" s="164"/>
      <c r="AW30" s="162"/>
      <c r="AX30" s="160"/>
      <c r="AY30" s="161"/>
      <c r="AZ30" s="162"/>
      <c r="BA30" s="163"/>
      <c r="BB30" s="164"/>
      <c r="BC30" s="162"/>
      <c r="BD30" s="160"/>
      <c r="BE30" s="161"/>
      <c r="BF30" s="162"/>
      <c r="BG30" s="163"/>
      <c r="BH30" s="164"/>
      <c r="BI30" s="162"/>
      <c r="BJ30" s="160"/>
      <c r="BK30" s="161"/>
      <c r="BL30" s="162"/>
      <c r="BM30" s="163"/>
      <c r="BN30" s="164"/>
      <c r="BO30" s="162"/>
      <c r="BP30" s="160"/>
      <c r="BQ30" s="161"/>
      <c r="BR30" s="162"/>
      <c r="BS30" s="163"/>
      <c r="BT30" s="164"/>
      <c r="BU30" s="162"/>
      <c r="BV30" s="160"/>
      <c r="BW30" s="161"/>
      <c r="BX30" s="162"/>
      <c r="BY30" s="163"/>
      <c r="BZ30" s="165"/>
      <c r="CA30" s="2">
        <f t="shared" si="0"/>
        <v>33</v>
      </c>
      <c r="CB30" s="51" t="s">
        <v>499</v>
      </c>
      <c r="CC30" s="51" t="s">
        <v>484</v>
      </c>
      <c r="CD30" s="51" t="s">
        <v>443</v>
      </c>
      <c r="CE30" s="51" t="s">
        <v>434</v>
      </c>
      <c r="CF30" s="51" t="s">
        <v>432</v>
      </c>
      <c r="CG30" s="51" t="s">
        <v>432</v>
      </c>
      <c r="CH30" s="51" t="s">
        <v>448</v>
      </c>
      <c r="CI30" s="51" t="s">
        <v>432</v>
      </c>
      <c r="CJ30" s="51" t="s">
        <v>452</v>
      </c>
      <c r="CK30" s="51"/>
      <c r="CL30" s="51" t="s">
        <v>452</v>
      </c>
      <c r="CM30" s="51" t="s">
        <v>457</v>
      </c>
      <c r="CN30" s="51" t="s">
        <v>452</v>
      </c>
      <c r="CO30" s="51" t="s">
        <v>452</v>
      </c>
      <c r="CP30" s="51" t="s">
        <v>452</v>
      </c>
      <c r="CQ30" s="51" t="s">
        <v>452</v>
      </c>
      <c r="CR30" s="51" t="s">
        <v>477</v>
      </c>
      <c r="CS30" s="51" t="s">
        <v>452</v>
      </c>
      <c r="CT30" s="51" t="s">
        <v>452</v>
      </c>
      <c r="CU30" s="51" t="s">
        <v>452</v>
      </c>
      <c r="CV30" s="51" t="s">
        <v>452</v>
      </c>
      <c r="CW30" s="51" t="s">
        <v>452</v>
      </c>
      <c r="CX30" s="51" t="s">
        <v>452</v>
      </c>
      <c r="CZ30" s="153" t="str">
        <f t="shared" si="1"/>
        <v>Corrupción</v>
      </c>
      <c r="DA30" s="200" t="str">
        <f t="shared" si="2"/>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DB30" s="200"/>
      <c r="DC30" s="200"/>
      <c r="DD30" s="200"/>
      <c r="DE30" s="200"/>
      <c r="DF30" s="200"/>
      <c r="DG30" s="200"/>
      <c r="DH30" s="153" t="str">
        <f t="shared" si="3"/>
        <v>Extremo</v>
      </c>
      <c r="DI30" s="153" t="str">
        <f t="shared" si="24"/>
        <v>Extremo</v>
      </c>
      <c r="DK30" s="149" t="e">
        <f>SUM(LEN(#REF!)-LEN(SUBSTITUTE(#REF!,"- Preventivo","")))/LEN("- Preventivo")</f>
        <v>#REF!</v>
      </c>
      <c r="DL30" s="149" t="e">
        <f t="shared" si="5"/>
        <v>#REF!</v>
      </c>
      <c r="DM30" s="149" t="e">
        <f>SUM(LEN(#REF!)-LEN(SUBSTITUTE(#REF!,"- Detectivo","")))/LEN("- Detectivo")</f>
        <v>#REF!</v>
      </c>
      <c r="DN30" s="149" t="e">
        <f t="shared" si="6"/>
        <v>#REF!</v>
      </c>
      <c r="DO30" s="149" t="e">
        <f>SUM(LEN(#REF!)-LEN(SUBSTITUTE(#REF!,"- Correctivo","")))/LEN("- Correctivo")</f>
        <v>#REF!</v>
      </c>
      <c r="DP30" s="149" t="e">
        <f t="shared" si="7"/>
        <v>#REF!</v>
      </c>
      <c r="DQ30" s="149" t="e">
        <f t="shared" si="25"/>
        <v>#REF!</v>
      </c>
      <c r="DR30" s="149" t="e">
        <f t="shared" si="9"/>
        <v>#REF!</v>
      </c>
      <c r="DS30" s="149" t="e">
        <f>SUM(LEN(#REF!)-LEN(SUBSTITUTE(#REF!,"- Documentado","")))/LEN("- Documentado")</f>
        <v>#REF!</v>
      </c>
      <c r="DT30" s="149" t="e">
        <f>SUM(LEN(#REF!)-LEN(SUBSTITUTE(#REF!,"- Documentado","")))/LEN("- Documentado")</f>
        <v>#REF!</v>
      </c>
      <c r="DU30" s="149" t="e">
        <f t="shared" si="10"/>
        <v>#REF!</v>
      </c>
      <c r="DV30" s="149" t="e">
        <f>SUM(LEN(#REF!)-LEN(SUBSTITUTE(#REF!,"- Continua","")))/LEN("- Continua")</f>
        <v>#REF!</v>
      </c>
      <c r="DW30" s="149" t="e">
        <f>SUM(LEN(#REF!)-LEN(SUBSTITUTE(#REF!,"- Continua","")))/LEN("- Continua")</f>
        <v>#REF!</v>
      </c>
      <c r="DX30" s="149" t="e">
        <f t="shared" si="11"/>
        <v>#REF!</v>
      </c>
      <c r="DY30" s="149" t="e">
        <f>SUM(LEN(#REF!)-LEN(SUBSTITUTE(#REF!,"- Con registro","")))/LEN("- Con registro")</f>
        <v>#REF!</v>
      </c>
      <c r="DZ30" s="149" t="e">
        <f>SUM(LEN(#REF!)-LEN(SUBSTITUTE(#REF!,"- Con registro","")))/LEN("- Con registro")</f>
        <v>#REF!</v>
      </c>
      <c r="EA30" s="149" t="e">
        <f t="shared" si="12"/>
        <v>#REF!</v>
      </c>
      <c r="EB30" s="152" t="e">
        <f t="shared" si="26"/>
        <v>#REF!</v>
      </c>
      <c r="EC30" s="152" t="e">
        <f t="shared" si="27"/>
        <v>#REF!</v>
      </c>
      <c r="ED30" s="184" t="e">
        <f t="shared" si="28"/>
        <v>#REF!</v>
      </c>
      <c r="EE30" s="198" t="e">
        <f t="shared" si="29"/>
        <v>#REF!</v>
      </c>
      <c r="EF30" s="198"/>
      <c r="EG30" s="198"/>
      <c r="EH30" s="198"/>
      <c r="EI30" s="198"/>
      <c r="EJ30" s="198"/>
      <c r="EK30" s="198"/>
      <c r="EL30" s="198"/>
      <c r="EM30" s="198"/>
      <c r="EN30" s="198"/>
      <c r="EP30" s="172">
        <f t="shared" si="30"/>
        <v>45253</v>
      </c>
      <c r="EQ30" s="173">
        <f t="shared" si="31"/>
        <v>45320</v>
      </c>
      <c r="ER30" s="149" t="str">
        <f t="shared" si="32"/>
        <v>Riesgos</v>
      </c>
      <c r="ES30" s="149" t="str">
        <f t="shared" si="20"/>
        <v>ID_-: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ET30" s="149" t="str">
        <f t="shared" si="21"/>
        <v>Ajuste en Identificación del riesgo
Análisis antes de controles
Tratamiento del riesgo en el Mapa de riesgos de Gobierno Abierto y Relacionamiento con la Ciudadanía</v>
      </c>
      <c r="EU30" s="149" t="str">
        <f t="shared" si="22"/>
        <v>Solicitud de cambio realizada y aprobada por la Oficina de Alta Consejería Distrital de Tecnologías de Información y Comunicaciones –TIC a través del Aplicativo DARUMA</v>
      </c>
    </row>
    <row r="31" spans="1:151" ht="399.95" customHeight="1" x14ac:dyDescent="0.2">
      <c r="A31" s="177" t="s">
        <v>418</v>
      </c>
      <c r="B31" s="158" t="s">
        <v>419</v>
      </c>
      <c r="C31" s="158" t="s">
        <v>420</v>
      </c>
      <c r="D31" s="177" t="s">
        <v>421</v>
      </c>
      <c r="E31" s="178" t="s">
        <v>38</v>
      </c>
      <c r="F31" s="158" t="s">
        <v>422</v>
      </c>
      <c r="G31" s="178" t="s">
        <v>542</v>
      </c>
      <c r="H31" s="178" t="s">
        <v>542</v>
      </c>
      <c r="I31" s="154" t="s">
        <v>381</v>
      </c>
      <c r="J31" s="177" t="s">
        <v>63</v>
      </c>
      <c r="K31" s="178" t="s">
        <v>326</v>
      </c>
      <c r="L31" s="158" t="s">
        <v>429</v>
      </c>
      <c r="M31" s="164" t="s">
        <v>720</v>
      </c>
      <c r="N31" s="158" t="s">
        <v>382</v>
      </c>
      <c r="O31" s="158" t="s">
        <v>721</v>
      </c>
      <c r="P31" s="158" t="s">
        <v>380</v>
      </c>
      <c r="Q31" s="158" t="s">
        <v>722</v>
      </c>
      <c r="R31" s="158" t="s">
        <v>604</v>
      </c>
      <c r="S31" s="158" t="s">
        <v>427</v>
      </c>
      <c r="T31" s="158" t="s">
        <v>723</v>
      </c>
      <c r="U31" s="179" t="s">
        <v>311</v>
      </c>
      <c r="V31" s="180">
        <v>0.2</v>
      </c>
      <c r="W31" s="179" t="s">
        <v>77</v>
      </c>
      <c r="X31" s="180">
        <v>0.8</v>
      </c>
      <c r="Y31" s="66" t="s">
        <v>270</v>
      </c>
      <c r="Z31" s="158" t="s">
        <v>340</v>
      </c>
      <c r="AA31" s="179" t="s">
        <v>311</v>
      </c>
      <c r="AB31" s="182">
        <v>1.210104E-2</v>
      </c>
      <c r="AC31" s="179" t="s">
        <v>77</v>
      </c>
      <c r="AD31" s="182">
        <v>0.8</v>
      </c>
      <c r="AE31" s="66" t="s">
        <v>270</v>
      </c>
      <c r="AF31" s="158" t="s">
        <v>736</v>
      </c>
      <c r="AG31" s="177" t="s">
        <v>328</v>
      </c>
      <c r="AH31" s="158" t="s">
        <v>724</v>
      </c>
      <c r="AI31" s="158" t="s">
        <v>725</v>
      </c>
      <c r="AJ31" s="158" t="s">
        <v>542</v>
      </c>
      <c r="AK31" s="158" t="s">
        <v>542</v>
      </c>
      <c r="AL31" s="158" t="s">
        <v>726</v>
      </c>
      <c r="AM31" s="158" t="s">
        <v>727</v>
      </c>
      <c r="AN31" s="158" t="s">
        <v>728</v>
      </c>
      <c r="AO31" s="158" t="s">
        <v>729</v>
      </c>
      <c r="AP31" s="158" t="s">
        <v>730</v>
      </c>
      <c r="AQ31" s="159">
        <v>45261</v>
      </c>
      <c r="AR31" s="160" t="s">
        <v>731</v>
      </c>
      <c r="AS31" s="161" t="s">
        <v>732</v>
      </c>
      <c r="AT31" s="162"/>
      <c r="AU31" s="163"/>
      <c r="AV31" s="164"/>
      <c r="AW31" s="162"/>
      <c r="AX31" s="160"/>
      <c r="AY31" s="161"/>
      <c r="AZ31" s="162"/>
      <c r="BA31" s="163"/>
      <c r="BB31" s="164"/>
      <c r="BC31" s="162"/>
      <c r="BD31" s="160"/>
      <c r="BE31" s="161"/>
      <c r="BF31" s="162"/>
      <c r="BG31" s="163"/>
      <c r="BH31" s="164"/>
      <c r="BI31" s="162"/>
      <c r="BJ31" s="160"/>
      <c r="BK31" s="161"/>
      <c r="BL31" s="162"/>
      <c r="BM31" s="163"/>
      <c r="BN31" s="164"/>
      <c r="BO31" s="162"/>
      <c r="BP31" s="160"/>
      <c r="BQ31" s="161"/>
      <c r="BR31" s="162"/>
      <c r="BS31" s="163"/>
      <c r="BT31" s="164"/>
      <c r="BU31" s="162"/>
      <c r="BV31" s="160"/>
      <c r="BW31" s="161"/>
      <c r="BX31" s="162"/>
      <c r="BY31" s="163"/>
      <c r="BZ31" s="165"/>
      <c r="CA31" s="2">
        <f t="shared" si="0"/>
        <v>33</v>
      </c>
      <c r="CB31" s="51" t="s">
        <v>493</v>
      </c>
      <c r="CC31" s="51" t="s">
        <v>494</v>
      </c>
      <c r="CD31" s="51" t="s">
        <v>444</v>
      </c>
      <c r="CE31" s="51" t="s">
        <v>434</v>
      </c>
      <c r="CF31" s="51" t="s">
        <v>432</v>
      </c>
      <c r="CG31" s="51" t="s">
        <v>432</v>
      </c>
      <c r="CH31" s="51" t="s">
        <v>448</v>
      </c>
      <c r="CI31" s="51" t="s">
        <v>432</v>
      </c>
      <c r="CJ31" s="51" t="s">
        <v>452</v>
      </c>
      <c r="CK31" s="51"/>
      <c r="CL31" s="51" t="s">
        <v>452</v>
      </c>
      <c r="CM31" s="51" t="s">
        <v>458</v>
      </c>
      <c r="CN31" s="51" t="s">
        <v>452</v>
      </c>
      <c r="CO31" s="51" t="s">
        <v>452</v>
      </c>
      <c r="CP31" s="51" t="s">
        <v>452</v>
      </c>
      <c r="CQ31" s="51" t="s">
        <v>452</v>
      </c>
      <c r="CR31" s="51" t="s">
        <v>478</v>
      </c>
      <c r="CS31" s="51" t="s">
        <v>452</v>
      </c>
      <c r="CT31" s="51" t="s">
        <v>452</v>
      </c>
      <c r="CU31" s="51" t="s">
        <v>452</v>
      </c>
      <c r="CV31" s="51" t="s">
        <v>452</v>
      </c>
      <c r="CW31" s="51" t="s">
        <v>452</v>
      </c>
      <c r="CX31" s="51" t="s">
        <v>452</v>
      </c>
      <c r="CZ31" s="153" t="str">
        <f t="shared" si="1"/>
        <v>Corrupción</v>
      </c>
      <c r="DA31" s="200" t="str">
        <f t="shared" si="2"/>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B31" s="200"/>
      <c r="DC31" s="200"/>
      <c r="DD31" s="200"/>
      <c r="DE31" s="200"/>
      <c r="DF31" s="200"/>
      <c r="DG31" s="200"/>
      <c r="DH31" s="153" t="str">
        <f t="shared" si="3"/>
        <v>Alto</v>
      </c>
      <c r="DI31" s="153" t="str">
        <f t="shared" si="24"/>
        <v>Alto</v>
      </c>
      <c r="DK31" s="149" t="e">
        <f>SUM(LEN(#REF!)-LEN(SUBSTITUTE(#REF!,"- Preventivo","")))/LEN("- Preventivo")</f>
        <v>#REF!</v>
      </c>
      <c r="DL31" s="149" t="e">
        <f t="shared" si="5"/>
        <v>#REF!</v>
      </c>
      <c r="DM31" s="149" t="e">
        <f>SUM(LEN(#REF!)-LEN(SUBSTITUTE(#REF!,"- Detectivo","")))/LEN("- Detectivo")</f>
        <v>#REF!</v>
      </c>
      <c r="DN31" s="149" t="e">
        <f t="shared" si="6"/>
        <v>#REF!</v>
      </c>
      <c r="DO31" s="149" t="e">
        <f>SUM(LEN(#REF!)-LEN(SUBSTITUTE(#REF!,"- Correctivo","")))/LEN("- Correctivo")</f>
        <v>#REF!</v>
      </c>
      <c r="DP31" s="149" t="e">
        <f t="shared" si="7"/>
        <v>#REF!</v>
      </c>
      <c r="DQ31" s="149" t="e">
        <f t="shared" si="25"/>
        <v>#REF!</v>
      </c>
      <c r="DR31" s="149" t="e">
        <f t="shared" si="9"/>
        <v>#REF!</v>
      </c>
      <c r="DS31" s="149" t="e">
        <f>SUM(LEN(#REF!)-LEN(SUBSTITUTE(#REF!,"- Documentado","")))/LEN("- Documentado")</f>
        <v>#REF!</v>
      </c>
      <c r="DT31" s="149" t="e">
        <f>SUM(LEN(#REF!)-LEN(SUBSTITUTE(#REF!,"- Documentado","")))/LEN("- Documentado")</f>
        <v>#REF!</v>
      </c>
      <c r="DU31" s="149" t="e">
        <f t="shared" si="10"/>
        <v>#REF!</v>
      </c>
      <c r="DV31" s="149" t="e">
        <f>SUM(LEN(#REF!)-LEN(SUBSTITUTE(#REF!,"- Continua","")))/LEN("- Continua")</f>
        <v>#REF!</v>
      </c>
      <c r="DW31" s="149" t="e">
        <f>SUM(LEN(#REF!)-LEN(SUBSTITUTE(#REF!,"- Continua","")))/LEN("- Continua")</f>
        <v>#REF!</v>
      </c>
      <c r="DX31" s="149" t="e">
        <f t="shared" si="11"/>
        <v>#REF!</v>
      </c>
      <c r="DY31" s="149" t="e">
        <f>SUM(LEN(#REF!)-LEN(SUBSTITUTE(#REF!,"- Con registro","")))/LEN("- Con registro")</f>
        <v>#REF!</v>
      </c>
      <c r="DZ31" s="149" t="e">
        <f>SUM(LEN(#REF!)-LEN(SUBSTITUTE(#REF!,"- Con registro","")))/LEN("- Con registro")</f>
        <v>#REF!</v>
      </c>
      <c r="EA31" s="149" t="e">
        <f t="shared" si="12"/>
        <v>#REF!</v>
      </c>
      <c r="EB31" s="152" t="e">
        <f t="shared" si="26"/>
        <v>#REF!</v>
      </c>
      <c r="EC31" s="152" t="e">
        <f t="shared" si="27"/>
        <v>#REF!</v>
      </c>
      <c r="ED31" s="184" t="e">
        <f t="shared" si="28"/>
        <v>#REF!</v>
      </c>
      <c r="EE31" s="198" t="e">
        <f t="shared" si="29"/>
        <v>#REF!</v>
      </c>
      <c r="EF31" s="198"/>
      <c r="EG31" s="198"/>
      <c r="EH31" s="198"/>
      <c r="EI31" s="198"/>
      <c r="EJ31" s="198"/>
      <c r="EK31" s="198"/>
      <c r="EL31" s="198"/>
      <c r="EM31" s="198"/>
      <c r="EN31" s="198"/>
      <c r="EP31" s="172">
        <f t="shared" si="30"/>
        <v>45261</v>
      </c>
      <c r="EQ31" s="173">
        <f t="shared" si="31"/>
        <v>45320</v>
      </c>
      <c r="ER31" s="149" t="str">
        <f t="shared" si="32"/>
        <v>Riesgos</v>
      </c>
      <c r="ES31" s="149" t="str">
        <f t="shared" si="20"/>
        <v>ID_-: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ET31" s="149" t="str">
        <f t="shared" si="21"/>
        <v>Ajuste en Identificación del riesgo
Análisis antes de controles
Establecimiento de controles
Tratamiento del riesgo en el Mapa de riesgos de Paz, Víctimas y Reconciliación</v>
      </c>
      <c r="EU31" s="149" t="str">
        <f t="shared" si="22"/>
        <v>Solicitud de cambio realizada y aprobada por la Oficina Alta Consejería de Paz, Víctimas y Reconciliación a través del Aplicativo DARUMA</v>
      </c>
    </row>
    <row r="32" spans="1:151" x14ac:dyDescent="0.2">
      <c r="DA32" s="199"/>
      <c r="DB32" s="199"/>
      <c r="DC32" s="199"/>
      <c r="DD32" s="199"/>
      <c r="DE32" s="199"/>
      <c r="DF32" s="199"/>
      <c r="DG32" s="199"/>
      <c r="EE32" s="199"/>
      <c r="EF32" s="199"/>
      <c r="EG32" s="199"/>
      <c r="EH32" s="199"/>
      <c r="EI32" s="199"/>
      <c r="EJ32" s="199"/>
      <c r="EK32" s="199"/>
      <c r="EL32" s="199"/>
      <c r="EM32" s="199"/>
      <c r="EN32" s="199"/>
    </row>
    <row r="33" spans="105:144" x14ac:dyDescent="0.2">
      <c r="DA33" s="199"/>
      <c r="DB33" s="199"/>
      <c r="DC33" s="199"/>
      <c r="DD33" s="199"/>
      <c r="DE33" s="199"/>
      <c r="DF33" s="199"/>
      <c r="DG33" s="199"/>
      <c r="EE33" s="199"/>
      <c r="EF33" s="199"/>
      <c r="EG33" s="199"/>
      <c r="EH33" s="199"/>
      <c r="EI33" s="199"/>
      <c r="EJ33" s="199"/>
      <c r="EK33" s="199"/>
      <c r="EL33" s="199"/>
      <c r="EM33" s="199"/>
      <c r="EN33" s="199"/>
    </row>
    <row r="34" spans="105:144" x14ac:dyDescent="0.2">
      <c r="DA34" s="199"/>
      <c r="DB34" s="199"/>
      <c r="DC34" s="199"/>
      <c r="DD34" s="199"/>
      <c r="DE34" s="199"/>
      <c r="DF34" s="199"/>
      <c r="DG34" s="199"/>
      <c r="EE34" s="199"/>
      <c r="EF34" s="199"/>
      <c r="EG34" s="199"/>
      <c r="EH34" s="199"/>
      <c r="EI34" s="199"/>
      <c r="EJ34" s="199"/>
      <c r="EK34" s="199"/>
      <c r="EL34" s="199"/>
      <c r="EM34" s="199"/>
      <c r="EN34" s="199"/>
    </row>
    <row r="35" spans="105:144" x14ac:dyDescent="0.2">
      <c r="DA35" s="199"/>
      <c r="DB35" s="199"/>
      <c r="DC35" s="199"/>
      <c r="DD35" s="199"/>
      <c r="DE35" s="199"/>
      <c r="DF35" s="199"/>
      <c r="DG35" s="199"/>
      <c r="EE35" s="199"/>
      <c r="EF35" s="199"/>
      <c r="EG35" s="199"/>
      <c r="EH35" s="199"/>
      <c r="EI35" s="199"/>
      <c r="EJ35" s="199"/>
      <c r="EK35" s="199"/>
      <c r="EL35" s="199"/>
      <c r="EM35" s="199"/>
      <c r="EN35" s="199"/>
    </row>
    <row r="36" spans="105:144" x14ac:dyDescent="0.2">
      <c r="DA36" s="199"/>
      <c r="DB36" s="199"/>
      <c r="DC36" s="199"/>
      <c r="DD36" s="199"/>
      <c r="DE36" s="199"/>
      <c r="DF36" s="199"/>
      <c r="DG36" s="199"/>
      <c r="EE36" s="199"/>
      <c r="EF36" s="199"/>
      <c r="EG36" s="199"/>
      <c r="EH36" s="199"/>
      <c r="EI36" s="199"/>
      <c r="EJ36" s="199"/>
      <c r="EK36" s="199"/>
      <c r="EL36" s="199"/>
      <c r="EM36" s="199"/>
      <c r="EN36" s="199"/>
    </row>
  </sheetData>
  <sheetProtection formatColumns="0" formatRows="0" autoFilter="0"/>
  <autoFilter ref="A11:EU11">
    <filterColumn colId="104" showButton="0"/>
    <filterColumn colId="105" showButton="0"/>
    <filterColumn colId="106" showButton="0"/>
    <filterColumn colId="107" showButton="0"/>
    <filterColumn colId="108" showButton="0"/>
    <filterColumn colId="109"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autoFilter>
  <mergeCells count="79">
    <mergeCell ref="A1:AE1"/>
    <mergeCell ref="M9:O10"/>
    <mergeCell ref="P9:T10"/>
    <mergeCell ref="U9:V9"/>
    <mergeCell ref="W9:Z10"/>
    <mergeCell ref="AA9:AF10"/>
    <mergeCell ref="A2:AE4"/>
    <mergeCell ref="A5:AE5"/>
    <mergeCell ref="D6:F6"/>
    <mergeCell ref="U6:AF7"/>
    <mergeCell ref="EP2:EP4"/>
    <mergeCell ref="EQ2:EQ4"/>
    <mergeCell ref="ES2:ES4"/>
    <mergeCell ref="AG9:AP9"/>
    <mergeCell ref="AQ9:BZ10"/>
    <mergeCell ref="AH10:AM10"/>
    <mergeCell ref="CV10:CW10"/>
    <mergeCell ref="AN10:AP10"/>
    <mergeCell ref="CN10:CO10"/>
    <mergeCell ref="CP10:CQ10"/>
    <mergeCell ref="CL10:CM10"/>
    <mergeCell ref="CG10:CH10"/>
    <mergeCell ref="CD10:CE10"/>
    <mergeCell ref="CI10:CK10"/>
    <mergeCell ref="CR10:CS10"/>
    <mergeCell ref="CT10:CU10"/>
    <mergeCell ref="DA14:DG14"/>
    <mergeCell ref="DA15:DG15"/>
    <mergeCell ref="DA13:DG13"/>
    <mergeCell ref="DA11:DG11"/>
    <mergeCell ref="DA12:DG12"/>
    <mergeCell ref="DA16:DG16"/>
    <mergeCell ref="DA17:DG17"/>
    <mergeCell ref="DA18:DG18"/>
    <mergeCell ref="DA24:DG24"/>
    <mergeCell ref="DA25:DG25"/>
    <mergeCell ref="DA19:DG19"/>
    <mergeCell ref="DA32:DG32"/>
    <mergeCell ref="DA33:DG33"/>
    <mergeCell ref="DA34:DG34"/>
    <mergeCell ref="DA20:DG20"/>
    <mergeCell ref="DA21:DG21"/>
    <mergeCell ref="DA22:DG22"/>
    <mergeCell ref="DA23:DG23"/>
    <mergeCell ref="EE31:EN31"/>
    <mergeCell ref="DA26:DG26"/>
    <mergeCell ref="DA27:DG27"/>
    <mergeCell ref="DA28:DG28"/>
    <mergeCell ref="DA29:DG29"/>
    <mergeCell ref="DA30:DG30"/>
    <mergeCell ref="DA31:DG31"/>
    <mergeCell ref="EE26:EN26"/>
    <mergeCell ref="EE27:EN27"/>
    <mergeCell ref="EE28:EN28"/>
    <mergeCell ref="EE29:EN29"/>
    <mergeCell ref="EE30:EN30"/>
    <mergeCell ref="DA35:DG35"/>
    <mergeCell ref="DA36:DG36"/>
    <mergeCell ref="EE13:EN13"/>
    <mergeCell ref="EE14:EN14"/>
    <mergeCell ref="EE15:EN15"/>
    <mergeCell ref="EE20:EN20"/>
    <mergeCell ref="EE21:EN21"/>
    <mergeCell ref="EE22:EN22"/>
    <mergeCell ref="EE32:EN32"/>
    <mergeCell ref="EE33:EN33"/>
    <mergeCell ref="EE34:EN34"/>
    <mergeCell ref="EE35:EN35"/>
    <mergeCell ref="EE36:EN36"/>
    <mergeCell ref="EE23:EN23"/>
    <mergeCell ref="EE24:EN24"/>
    <mergeCell ref="EE25:EN25"/>
    <mergeCell ref="DK10:DR10"/>
    <mergeCell ref="EB11:EN11"/>
    <mergeCell ref="EE12:EN12"/>
    <mergeCell ref="EE18:EN18"/>
    <mergeCell ref="EE19:EN19"/>
    <mergeCell ref="EE16:EN16"/>
    <mergeCell ref="EE17:EN17"/>
  </mergeCells>
  <conditionalFormatting sqref="Y12:Y31">
    <cfRule type="cellIs" dxfId="123" priority="593" operator="equal">
      <formula>"Bajo"</formula>
    </cfRule>
    <cfRule type="cellIs" dxfId="122" priority="594" operator="equal">
      <formula>"Alto"</formula>
    </cfRule>
    <cfRule type="cellIs" dxfId="121" priority="595" operator="equal">
      <formula>"Extremo"</formula>
    </cfRule>
    <cfRule type="cellIs" dxfId="120" priority="596" operator="equal">
      <formula>"Moderado"</formula>
    </cfRule>
  </conditionalFormatting>
  <conditionalFormatting sqref="AE12:AE31">
    <cfRule type="cellIs" dxfId="119" priority="589" operator="equal">
      <formula>"Alto"</formula>
    </cfRule>
    <cfRule type="cellIs" dxfId="118" priority="590" operator="equal">
      <formula>"Moderado"</formula>
    </cfRule>
    <cfRule type="cellIs" dxfId="117" priority="591" operator="equal">
      <formula>"Extremo"</formula>
    </cfRule>
    <cfRule type="cellIs" dxfId="116"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5</oddFooter>
  </headerFooter>
  <colBreaks count="2" manualBreakCount="2">
    <brk id="33" max="121" man="1"/>
    <brk id="75"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'C:\Users\Cesar Arcos\Desktop\Alcaldía Bogotá\Metodología riesgos Alcaldía\Instrumento\Formatos\2021\Nuevos\[2210111-FT-471 Mapa de riesgos del proceso o proyecto de inversión V6.xlsx]Datos'!#REF!</xm:f>
            <x14:dxf>
              <fill>
                <patternFill>
                  <bgColor rgb="FFFF0000"/>
                </patternFill>
              </fill>
            </x14:dxf>
          </x14:cfRule>
          <xm:sqref>Y12:Y31 AE12:AE31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B2:E5"/>
  <sheetViews>
    <sheetView showGridLines="0" workbookViewId="0"/>
  </sheetViews>
  <sheetFormatPr baseColWidth="10" defaultColWidth="11.42578125" defaultRowHeight="15" x14ac:dyDescent="0.25"/>
  <cols>
    <col min="1" max="1" width="11.42578125" style="68"/>
    <col min="2" max="2" width="37.5703125" style="68" customWidth="1"/>
    <col min="3" max="3" width="48.7109375" style="68" customWidth="1"/>
    <col min="4" max="4" width="12.7109375" style="68" customWidth="1"/>
    <col min="5" max="16384" width="11.42578125" style="68"/>
  </cols>
  <sheetData>
    <row r="2" spans="2:5" x14ac:dyDescent="0.25">
      <c r="B2" s="106" t="s">
        <v>266</v>
      </c>
      <c r="C2" s="106" t="s">
        <v>235</v>
      </c>
      <c r="D2" s="106" t="s">
        <v>263</v>
      </c>
      <c r="E2" s="106" t="s">
        <v>267</v>
      </c>
    </row>
    <row r="3" spans="2:5" ht="15" customHeight="1" x14ac:dyDescent="0.25">
      <c r="B3" s="107" t="s">
        <v>63</v>
      </c>
      <c r="C3" s="68" t="s">
        <v>315</v>
      </c>
      <c r="D3" s="80">
        <v>13</v>
      </c>
      <c r="E3" s="108">
        <f>D3/$D$5</f>
        <v>0.65</v>
      </c>
    </row>
    <row r="4" spans="2:5" ht="15" customHeight="1" x14ac:dyDescent="0.25">
      <c r="C4" s="68" t="s">
        <v>316</v>
      </c>
      <c r="D4" s="80">
        <v>7</v>
      </c>
      <c r="E4" s="108">
        <f>D4/$D$5</f>
        <v>0.35</v>
      </c>
    </row>
    <row r="5" spans="2:5" ht="15" customHeight="1" x14ac:dyDescent="0.25">
      <c r="B5" s="105" t="s">
        <v>265</v>
      </c>
      <c r="C5" s="103"/>
      <c r="D5" s="96">
        <f>SUM(D3:D4)</f>
        <v>20</v>
      </c>
      <c r="E5" s="109">
        <f>SUM(E3:E4)</f>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4:E139"/>
  <sheetViews>
    <sheetView showGridLines="0" zoomScale="110" zoomScaleNormal="110" workbookViewId="0"/>
  </sheetViews>
  <sheetFormatPr baseColWidth="10" defaultColWidth="87.140625" defaultRowHeight="15" x14ac:dyDescent="0.25"/>
  <cols>
    <col min="1" max="1" width="78.85546875" style="67" customWidth="1"/>
    <col min="2" max="2" width="14" style="67" bestFit="1" customWidth="1"/>
    <col min="3" max="3" width="7.7109375" style="67" customWidth="1"/>
    <col min="4" max="4" width="9.28515625" style="67" bestFit="1" customWidth="1"/>
    <col min="5" max="5" width="12.5703125" style="67" bestFit="1" customWidth="1"/>
    <col min="6" max="9" width="45.7109375" style="67" customWidth="1"/>
    <col min="10" max="16384" width="87.140625" style="67"/>
  </cols>
  <sheetData>
    <row r="4" spans="1:5" ht="30" x14ac:dyDescent="0.25">
      <c r="A4" s="143" t="s">
        <v>276</v>
      </c>
      <c r="B4" s="147" t="s">
        <v>532</v>
      </c>
      <c r="C4" s="148"/>
      <c r="D4"/>
      <c r="E4"/>
    </row>
    <row r="5" spans="1:5" ht="30" x14ac:dyDescent="0.25">
      <c r="A5" s="155" t="s">
        <v>284</v>
      </c>
      <c r="B5" s="168" t="s">
        <v>63</v>
      </c>
      <c r="C5" s="157" t="s">
        <v>243</v>
      </c>
      <c r="D5"/>
      <c r="E5"/>
    </row>
    <row r="6" spans="1:5" x14ac:dyDescent="0.25">
      <c r="A6" s="146" t="s">
        <v>272</v>
      </c>
      <c r="B6" s="185">
        <v>1</v>
      </c>
      <c r="C6" s="191">
        <v>1</v>
      </c>
      <c r="D6"/>
      <c r="E6"/>
    </row>
    <row r="7" spans="1:5" x14ac:dyDescent="0.25">
      <c r="A7" s="146" t="s">
        <v>273</v>
      </c>
      <c r="B7" s="185">
        <v>1</v>
      </c>
      <c r="C7" s="191">
        <v>1</v>
      </c>
      <c r="D7"/>
      <c r="E7"/>
    </row>
    <row r="8" spans="1:5" x14ac:dyDescent="0.25">
      <c r="A8" s="146" t="s">
        <v>190</v>
      </c>
      <c r="B8" s="185">
        <v>2</v>
      </c>
      <c r="C8" s="191">
        <v>2</v>
      </c>
      <c r="D8"/>
      <c r="E8"/>
    </row>
    <row r="9" spans="1:5" x14ac:dyDescent="0.25">
      <c r="A9" s="146" t="s">
        <v>274</v>
      </c>
      <c r="B9" s="185">
        <v>2</v>
      </c>
      <c r="C9" s="191">
        <v>2</v>
      </c>
      <c r="D9"/>
      <c r="E9"/>
    </row>
    <row r="10" spans="1:5" x14ac:dyDescent="0.25">
      <c r="A10" s="146" t="s">
        <v>275</v>
      </c>
      <c r="B10" s="185">
        <v>1</v>
      </c>
      <c r="C10" s="191">
        <v>1</v>
      </c>
      <c r="D10"/>
      <c r="E10"/>
    </row>
    <row r="11" spans="1:5" x14ac:dyDescent="0.25">
      <c r="A11" s="146" t="s">
        <v>393</v>
      </c>
      <c r="B11" s="185">
        <v>2</v>
      </c>
      <c r="C11" s="191">
        <v>2</v>
      </c>
      <c r="D11"/>
      <c r="E11"/>
    </row>
    <row r="12" spans="1:5" x14ac:dyDescent="0.25">
      <c r="A12" s="146" t="s">
        <v>397</v>
      </c>
      <c r="B12" s="185">
        <v>2</v>
      </c>
      <c r="C12" s="191">
        <v>2</v>
      </c>
      <c r="D12"/>
      <c r="E12"/>
    </row>
    <row r="13" spans="1:5" x14ac:dyDescent="0.25">
      <c r="A13" s="146" t="s">
        <v>423</v>
      </c>
      <c r="B13" s="185">
        <v>2</v>
      </c>
      <c r="C13" s="191">
        <v>2</v>
      </c>
      <c r="D13"/>
      <c r="E13"/>
    </row>
    <row r="14" spans="1:5" x14ac:dyDescent="0.25">
      <c r="A14" s="146" t="s">
        <v>407</v>
      </c>
      <c r="B14" s="185">
        <v>3</v>
      </c>
      <c r="C14" s="191">
        <v>3</v>
      </c>
      <c r="D14"/>
      <c r="E14"/>
    </row>
    <row r="15" spans="1:5" x14ac:dyDescent="0.25">
      <c r="A15" s="146" t="s">
        <v>411</v>
      </c>
      <c r="B15" s="185">
        <v>3</v>
      </c>
      <c r="C15" s="191">
        <v>3</v>
      </c>
      <c r="D15"/>
      <c r="E15"/>
    </row>
    <row r="16" spans="1:5" x14ac:dyDescent="0.25">
      <c r="A16" s="145" t="s">
        <v>418</v>
      </c>
      <c r="B16" s="186">
        <v>1</v>
      </c>
      <c r="C16" s="192">
        <v>1</v>
      </c>
      <c r="D16"/>
      <c r="E16"/>
    </row>
    <row r="17" spans="1:5" x14ac:dyDescent="0.25">
      <c r="A17" s="144" t="s">
        <v>243</v>
      </c>
      <c r="B17" s="187">
        <v>20</v>
      </c>
      <c r="C17" s="193">
        <v>20</v>
      </c>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55" t="s">
        <v>276</v>
      </c>
      <c r="B30" s="169" t="s">
        <v>532</v>
      </c>
      <c r="C30" s="188"/>
      <c r="D30"/>
      <c r="E30"/>
    </row>
    <row r="31" spans="1:5" ht="30" x14ac:dyDescent="0.25">
      <c r="A31" s="170" t="s">
        <v>428</v>
      </c>
      <c r="B31" s="156" t="s">
        <v>63</v>
      </c>
      <c r="C31" s="157" t="s">
        <v>243</v>
      </c>
      <c r="D31"/>
      <c r="E31"/>
    </row>
    <row r="32" spans="1:5" ht="15" customHeight="1" x14ac:dyDescent="0.25">
      <c r="A32" s="167" t="s">
        <v>256</v>
      </c>
      <c r="B32" s="186">
        <v>2</v>
      </c>
      <c r="C32" s="192">
        <v>2</v>
      </c>
      <c r="D32"/>
      <c r="E32"/>
    </row>
    <row r="33" spans="1:5" ht="15" customHeight="1" x14ac:dyDescent="0.25">
      <c r="A33" s="146" t="s">
        <v>246</v>
      </c>
      <c r="B33" s="185">
        <v>3</v>
      </c>
      <c r="C33" s="191">
        <v>3</v>
      </c>
      <c r="D33"/>
      <c r="E33"/>
    </row>
    <row r="34" spans="1:5" ht="15" customHeight="1" x14ac:dyDescent="0.25">
      <c r="A34" s="146" t="s">
        <v>251</v>
      </c>
      <c r="B34" s="185">
        <v>2</v>
      </c>
      <c r="C34" s="191">
        <v>2</v>
      </c>
      <c r="D34"/>
      <c r="E34"/>
    </row>
    <row r="35" spans="1:5" ht="15" customHeight="1" x14ac:dyDescent="0.25">
      <c r="A35" s="146" t="s">
        <v>429</v>
      </c>
      <c r="B35" s="185">
        <v>1</v>
      </c>
      <c r="C35" s="191">
        <v>1</v>
      </c>
      <c r="D35"/>
      <c r="E35"/>
    </row>
    <row r="36" spans="1:5" ht="15" customHeight="1" x14ac:dyDescent="0.25">
      <c r="A36" s="146" t="s">
        <v>321</v>
      </c>
      <c r="B36" s="185">
        <v>1</v>
      </c>
      <c r="C36" s="191">
        <v>1</v>
      </c>
      <c r="D36"/>
      <c r="E36"/>
    </row>
    <row r="37" spans="1:5" x14ac:dyDescent="0.25">
      <c r="A37" s="146" t="s">
        <v>430</v>
      </c>
      <c r="B37" s="185">
        <v>1</v>
      </c>
      <c r="C37" s="191">
        <v>1</v>
      </c>
      <c r="D37"/>
      <c r="E37"/>
    </row>
    <row r="38" spans="1:5" x14ac:dyDescent="0.25">
      <c r="A38" s="146" t="s">
        <v>258</v>
      </c>
      <c r="B38" s="185">
        <v>3</v>
      </c>
      <c r="C38" s="191">
        <v>3</v>
      </c>
      <c r="D38"/>
      <c r="E38"/>
    </row>
    <row r="39" spans="1:5" ht="15" customHeight="1" x14ac:dyDescent="0.25">
      <c r="A39" s="146" t="s">
        <v>257</v>
      </c>
      <c r="B39" s="185">
        <v>2</v>
      </c>
      <c r="C39" s="191">
        <v>2</v>
      </c>
      <c r="D39"/>
      <c r="E39"/>
    </row>
    <row r="40" spans="1:5" ht="15" customHeight="1" x14ac:dyDescent="0.25">
      <c r="A40" s="190" t="s">
        <v>735</v>
      </c>
      <c r="B40" s="189">
        <v>1</v>
      </c>
      <c r="C40" s="194">
        <v>1</v>
      </c>
      <c r="D40"/>
      <c r="E40"/>
    </row>
    <row r="41" spans="1:5" ht="15" customHeight="1" x14ac:dyDescent="0.25">
      <c r="A41" s="146" t="s">
        <v>680</v>
      </c>
      <c r="B41" s="185">
        <v>1</v>
      </c>
      <c r="C41" s="191">
        <v>1</v>
      </c>
      <c r="D41"/>
      <c r="E41"/>
    </row>
    <row r="42" spans="1:5" ht="15" customHeight="1" x14ac:dyDescent="0.25">
      <c r="A42" s="146" t="s">
        <v>690</v>
      </c>
      <c r="B42" s="185">
        <v>1</v>
      </c>
      <c r="C42" s="191">
        <v>1</v>
      </c>
      <c r="D42"/>
      <c r="E42"/>
    </row>
    <row r="43" spans="1:5" x14ac:dyDescent="0.25">
      <c r="A43" s="146" t="s">
        <v>692</v>
      </c>
      <c r="B43" s="185">
        <v>1</v>
      </c>
      <c r="C43" s="191">
        <v>1</v>
      </c>
      <c r="D43"/>
      <c r="E43"/>
    </row>
    <row r="44" spans="1:5" ht="15" customHeight="1" x14ac:dyDescent="0.25">
      <c r="A44" s="146" t="s">
        <v>709</v>
      </c>
      <c r="B44" s="185">
        <v>1</v>
      </c>
      <c r="C44" s="191">
        <v>1</v>
      </c>
      <c r="D44"/>
      <c r="E44"/>
    </row>
    <row r="45" spans="1:5" ht="15" customHeight="1" x14ac:dyDescent="0.25">
      <c r="A45" s="144" t="s">
        <v>243</v>
      </c>
      <c r="B45" s="187">
        <v>20</v>
      </c>
      <c r="C45" s="193">
        <v>20</v>
      </c>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ht="15" customHeight="1" x14ac:dyDescent="0.25">
      <c r="A50"/>
      <c r="B50"/>
      <c r="C50"/>
      <c r="D50"/>
      <c r="E50"/>
    </row>
    <row r="51" spans="1:5" ht="15" customHeight="1"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row>
    <row r="72" spans="1:5" x14ac:dyDescent="0.25">
      <c r="A72"/>
    </row>
    <row r="73" spans="1:5" x14ac:dyDescent="0.25">
      <c r="A73"/>
    </row>
    <row r="74" spans="1:5" x14ac:dyDescent="0.25">
      <c r="A74"/>
    </row>
    <row r="75" spans="1:5" x14ac:dyDescent="0.25">
      <c r="A75"/>
    </row>
    <row r="76" spans="1:5" x14ac:dyDescent="0.25">
      <c r="A76"/>
    </row>
    <row r="77" spans="1:5" x14ac:dyDescent="0.25">
      <c r="A77"/>
    </row>
    <row r="78" spans="1:5" x14ac:dyDescent="0.25">
      <c r="A78"/>
    </row>
    <row r="79" spans="1:5" x14ac:dyDescent="0.25">
      <c r="A79"/>
    </row>
    <row r="80" spans="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19.5" customHeight="1" x14ac:dyDescent="0.25"/>
    <row r="2" spans="2:18" ht="27" customHeight="1" x14ac:dyDescent="0.25">
      <c r="B2" s="252" t="s">
        <v>277</v>
      </c>
      <c r="C2" s="253"/>
      <c r="D2" s="253"/>
      <c r="E2" s="253"/>
      <c r="F2" s="253"/>
      <c r="G2" s="253"/>
      <c r="H2" s="253"/>
      <c r="I2" s="253"/>
      <c r="J2" s="253"/>
      <c r="K2" s="253"/>
      <c r="L2" s="253"/>
      <c r="M2" s="253"/>
      <c r="N2" s="253"/>
      <c r="O2" s="254"/>
    </row>
    <row r="3" spans="2:18" ht="30" customHeight="1" x14ac:dyDescent="0.25">
      <c r="B3" s="255"/>
      <c r="C3" s="256"/>
      <c r="D3" s="256"/>
      <c r="E3" s="256"/>
      <c r="F3" s="256"/>
      <c r="G3" s="256"/>
      <c r="H3" s="256"/>
      <c r="I3" s="256"/>
      <c r="J3" s="256"/>
      <c r="K3" s="256"/>
      <c r="L3" s="256"/>
      <c r="M3" s="256"/>
      <c r="N3" s="256"/>
      <c r="O3" s="257"/>
    </row>
    <row r="4" spans="2:18" ht="19.5" customHeight="1" x14ac:dyDescent="0.25">
      <c r="B4" s="70"/>
      <c r="C4" s="69"/>
      <c r="D4" s="69"/>
      <c r="E4" s="69"/>
      <c r="F4" s="69"/>
      <c r="G4" s="69"/>
      <c r="H4" s="69"/>
      <c r="I4" s="69"/>
      <c r="J4" s="69"/>
      <c r="K4" s="69"/>
      <c r="L4" s="69"/>
      <c r="M4" s="69"/>
      <c r="N4" s="69"/>
      <c r="O4" s="82"/>
    </row>
    <row r="5" spans="2:18" x14ac:dyDescent="0.25">
      <c r="B5" s="70"/>
      <c r="D5" s="71"/>
      <c r="F5" s="71"/>
      <c r="G5" s="71"/>
      <c r="H5" s="71"/>
      <c r="J5" s="71"/>
      <c r="L5" s="71"/>
      <c r="N5" s="71"/>
      <c r="O5" s="82"/>
    </row>
    <row r="6" spans="2:18" ht="40.5" customHeight="1" x14ac:dyDescent="0.25">
      <c r="B6" s="70"/>
      <c r="C6" s="251" t="s">
        <v>269</v>
      </c>
      <c r="D6" s="72" t="str">
        <f>Datos!T2</f>
        <v>Muy alta (5)</v>
      </c>
      <c r="F6" s="71"/>
      <c r="G6" s="71"/>
      <c r="H6" s="71"/>
      <c r="I6" s="74"/>
      <c r="J6" s="73">
        <f>COUNTIFS(Mapa_riesgos!$U$12:$U$31,$D6,Mapa_riesgos!$W$12:$W$31,J$16)</f>
        <v>0</v>
      </c>
      <c r="K6" s="74"/>
      <c r="L6" s="73">
        <f>COUNTIFS(Mapa_riesgos!$U$12:$U$31,$D6,Mapa_riesgos!$W$12:$W$31,L$16)</f>
        <v>0</v>
      </c>
      <c r="M6" s="74"/>
      <c r="N6" s="75">
        <f>COUNTIFS(Mapa_riesgos!$U$12:$U$31,$D6,Mapa_riesgos!$W$12:$W$31,N$16)</f>
        <v>0</v>
      </c>
      <c r="O6" s="82"/>
    </row>
    <row r="7" spans="2:18" ht="12" customHeight="1" x14ac:dyDescent="0.25">
      <c r="B7" s="70"/>
      <c r="C7" s="251"/>
      <c r="D7" s="71"/>
      <c r="F7" s="71"/>
      <c r="G7" s="71"/>
      <c r="H7" s="71"/>
      <c r="I7" s="74"/>
      <c r="J7" s="76"/>
      <c r="K7" s="74"/>
      <c r="L7" s="76"/>
      <c r="M7" s="74"/>
      <c r="N7" s="76"/>
      <c r="O7" s="82"/>
    </row>
    <row r="8" spans="2:18" ht="40.5" customHeight="1" x14ac:dyDescent="0.25">
      <c r="B8" s="70"/>
      <c r="C8" s="251"/>
      <c r="D8" s="72" t="str">
        <f>Datos!T3</f>
        <v>Alta (4)</v>
      </c>
      <c r="F8" s="71"/>
      <c r="G8" s="71"/>
      <c r="H8" s="71"/>
      <c r="I8" s="74"/>
      <c r="J8" s="73">
        <f>COUNTIFS(Mapa_riesgos!$U$12:$U$31,$D8,Mapa_riesgos!$W$12:$W$31,J$16)</f>
        <v>0</v>
      </c>
      <c r="K8" s="74"/>
      <c r="L8" s="73">
        <f>COUNTIFS(Mapa_riesgos!$U$12:$U$31,$D8,Mapa_riesgos!$W$12:$W$31,L$16)</f>
        <v>0</v>
      </c>
      <c r="M8" s="74"/>
      <c r="N8" s="75">
        <f>COUNTIFS(Mapa_riesgos!$U$12:$U$31,$D8,Mapa_riesgos!$W$12:$W$31,N$16)</f>
        <v>0</v>
      </c>
      <c r="O8" s="82"/>
    </row>
    <row r="9" spans="2:18" ht="11.25" customHeight="1" x14ac:dyDescent="0.25">
      <c r="B9" s="70"/>
      <c r="C9" s="251"/>
      <c r="D9" s="71"/>
      <c r="F9" s="71"/>
      <c r="G9" s="71"/>
      <c r="H9" s="71"/>
      <c r="I9" s="74"/>
      <c r="J9" s="76"/>
      <c r="K9" s="74"/>
      <c r="L9" s="76"/>
      <c r="M9" s="74"/>
      <c r="N9" s="76"/>
      <c r="O9" s="82"/>
    </row>
    <row r="10" spans="2:18" ht="40.5" customHeight="1" x14ac:dyDescent="0.25">
      <c r="B10" s="70"/>
      <c r="C10" s="251"/>
      <c r="D10" s="72" t="str">
        <f>Datos!T4</f>
        <v>Media (3)</v>
      </c>
      <c r="F10" s="71"/>
      <c r="G10" s="71"/>
      <c r="H10" s="71"/>
      <c r="I10" s="74"/>
      <c r="J10" s="77">
        <f>COUNTIFS(Mapa_riesgos!$U$12:$U$31,$D10,Mapa_riesgos!$W$12:$W$31,J$16)</f>
        <v>0</v>
      </c>
      <c r="K10" s="74"/>
      <c r="L10" s="73">
        <f>COUNTIFS(Mapa_riesgos!$U$12:$U$31,$D10,Mapa_riesgos!$W$12:$W$31,L$16)</f>
        <v>0</v>
      </c>
      <c r="M10" s="74"/>
      <c r="N10" s="75">
        <f>COUNTIFS(Mapa_riesgos!$U$12:$U$31,$D10,Mapa_riesgos!$W$12:$W$31,N$16)</f>
        <v>0</v>
      </c>
      <c r="O10" s="82"/>
      <c r="Q10" s="97"/>
      <c r="R10" s="98"/>
    </row>
    <row r="11" spans="2:18" ht="9" customHeight="1" x14ac:dyDescent="0.25">
      <c r="B11" s="70"/>
      <c r="C11" s="251"/>
      <c r="D11" s="71"/>
      <c r="F11" s="71"/>
      <c r="G11" s="71"/>
      <c r="H11" s="71"/>
      <c r="I11" s="74"/>
      <c r="J11" s="76"/>
      <c r="K11" s="74"/>
      <c r="L11" s="76"/>
      <c r="M11" s="74"/>
      <c r="N11" s="76"/>
      <c r="O11" s="82"/>
    </row>
    <row r="12" spans="2:18" ht="40.5" customHeight="1" x14ac:dyDescent="0.25">
      <c r="B12" s="70"/>
      <c r="C12" s="251"/>
      <c r="D12" s="72" t="str">
        <f>Datos!T5</f>
        <v>Baja (2)</v>
      </c>
      <c r="F12" s="71"/>
      <c r="G12" s="71"/>
      <c r="H12" s="71"/>
      <c r="I12" s="74"/>
      <c r="J12" s="77">
        <f>COUNTIFS(Mapa_riesgos!$U$12:$U$31,$D12,Mapa_riesgos!$W$12:$W$31,J$16)</f>
        <v>0</v>
      </c>
      <c r="K12" s="74"/>
      <c r="L12" s="73">
        <f>COUNTIFS(Mapa_riesgos!$U$12:$U$31,$D12,Mapa_riesgos!$W$12:$W$31,L$16)</f>
        <v>0</v>
      </c>
      <c r="M12" s="74"/>
      <c r="N12" s="75">
        <f>COUNTIFS(Mapa_riesgos!$U$12:$U$31,$D12,Mapa_riesgos!$W$12:$W$31,N$16)</f>
        <v>0</v>
      </c>
      <c r="O12" s="82"/>
      <c r="Q12" s="97"/>
      <c r="R12" s="99"/>
    </row>
    <row r="13" spans="2:18" ht="9.75" customHeight="1" x14ac:dyDescent="0.25">
      <c r="B13" s="70"/>
      <c r="C13" s="251"/>
      <c r="D13" s="71"/>
      <c r="F13" s="71"/>
      <c r="G13" s="71"/>
      <c r="H13" s="71"/>
      <c r="I13" s="74"/>
      <c r="J13" s="76"/>
      <c r="K13" s="74"/>
      <c r="L13" s="76"/>
      <c r="M13" s="74"/>
      <c r="N13" s="76"/>
      <c r="O13" s="82"/>
    </row>
    <row r="14" spans="2:18" ht="40.5" customHeight="1" x14ac:dyDescent="0.25">
      <c r="B14" s="70"/>
      <c r="C14" s="251"/>
      <c r="D14" s="72" t="str">
        <f>Datos!T6</f>
        <v>Muy baja (1)</v>
      </c>
      <c r="F14" s="71"/>
      <c r="G14" s="71"/>
      <c r="H14" s="71"/>
      <c r="I14" s="74"/>
      <c r="J14" s="77">
        <f>COUNTIFS(Mapa_riesgos!$U$12:$U$31,$D14,Mapa_riesgos!$W$12:$W$31,J$16)</f>
        <v>1</v>
      </c>
      <c r="K14" s="74"/>
      <c r="L14" s="73">
        <f>COUNTIFS(Mapa_riesgos!$U$12:$U$31,$D14,Mapa_riesgos!$W$12:$W$31,L$16)</f>
        <v>13</v>
      </c>
      <c r="M14" s="74"/>
      <c r="N14" s="75">
        <f>COUNTIFS(Mapa_riesgos!$U$12:$U$31,$D14,Mapa_riesgos!$W$12:$W$31,N$16)</f>
        <v>6</v>
      </c>
      <c r="O14" s="82"/>
    </row>
    <row r="15" spans="2:18" ht="27.75" customHeight="1" x14ac:dyDescent="0.25">
      <c r="B15" s="70"/>
      <c r="D15" s="71"/>
      <c r="F15" s="71"/>
      <c r="G15" s="71"/>
      <c r="H15" s="71"/>
      <c r="J15" s="71"/>
      <c r="L15" s="71"/>
      <c r="N15" s="71"/>
      <c r="O15" s="82"/>
    </row>
    <row r="16" spans="2:18" ht="41.25" customHeight="1" x14ac:dyDescent="0.25">
      <c r="B16" s="70"/>
      <c r="I16" s="78"/>
      <c r="J16" s="72" t="str">
        <f>Datos!U4</f>
        <v>Moderado (3)</v>
      </c>
      <c r="K16" s="78"/>
      <c r="L16" s="72" t="str">
        <f>Datos!U3</f>
        <v>Mayor (4)</v>
      </c>
      <c r="M16" s="78"/>
      <c r="N16" s="72" t="str">
        <f>Datos!U2</f>
        <v>Catastrófico (5)</v>
      </c>
      <c r="O16" s="82"/>
    </row>
    <row r="17" spans="2:15" ht="41.25" customHeight="1" x14ac:dyDescent="0.25">
      <c r="B17" s="70"/>
      <c r="I17" s="80"/>
      <c r="J17" s="81" t="s">
        <v>268</v>
      </c>
      <c r="K17" s="80"/>
      <c r="L17" s="79"/>
      <c r="M17" s="80"/>
      <c r="N17" s="79"/>
      <c r="O17" s="82"/>
    </row>
    <row r="18" spans="2:15" ht="18" customHeight="1" x14ac:dyDescent="0.25">
      <c r="B18" s="70"/>
      <c r="O18" s="82"/>
    </row>
    <row r="19" spans="2:15" ht="26.25" customHeight="1" x14ac:dyDescent="0.25">
      <c r="B19" s="70"/>
      <c r="D19" s="81" t="s">
        <v>224</v>
      </c>
      <c r="G19" s="74"/>
      <c r="H19" s="83">
        <f>+F8+F10+H8+H10+H12+J10+J12+J14</f>
        <v>1</v>
      </c>
      <c r="I19" s="74"/>
      <c r="J19" s="83">
        <f>+F6+H6+J6+J8+L6+L8+L10+L12+L14</f>
        <v>13</v>
      </c>
      <c r="K19" s="74"/>
      <c r="L19" s="83">
        <f>+N6+N8+N10+N12+N14</f>
        <v>6</v>
      </c>
      <c r="M19" s="80"/>
      <c r="N19" s="80"/>
      <c r="O19" s="82"/>
    </row>
    <row r="20" spans="2:15" ht="26.25" customHeight="1" x14ac:dyDescent="0.3">
      <c r="B20" s="70"/>
      <c r="D20" s="84">
        <f>SUM(F6:N14)</f>
        <v>20</v>
      </c>
      <c r="G20" s="85"/>
      <c r="H20" s="86" t="s">
        <v>84</v>
      </c>
      <c r="I20" s="85"/>
      <c r="J20" s="87" t="s">
        <v>270</v>
      </c>
      <c r="K20" s="85"/>
      <c r="L20" s="88" t="s">
        <v>271</v>
      </c>
      <c r="O20" s="82"/>
    </row>
    <row r="21" spans="2:15" x14ac:dyDescent="0.25">
      <c r="B21" s="89"/>
      <c r="C21" s="90"/>
      <c r="D21" s="90"/>
      <c r="E21" s="90"/>
      <c r="F21" s="90"/>
      <c r="G21" s="90"/>
      <c r="H21" s="90"/>
      <c r="I21" s="90"/>
      <c r="J21" s="90"/>
      <c r="K21" s="90"/>
      <c r="L21" s="90"/>
      <c r="M21" s="90"/>
      <c r="N21" s="90"/>
      <c r="O21" s="91"/>
    </row>
  </sheetData>
  <mergeCells count="2">
    <mergeCell ref="C6:C14"/>
    <mergeCell ref="B2:O3"/>
  </mergeCells>
  <conditionalFormatting sqref="J6 L6 J8 L8 L10 L12 L14">
    <cfRule type="cellIs" dxfId="5" priority="2" operator="equal">
      <formula>0</formula>
    </cfRule>
  </conditionalFormatting>
  <conditionalFormatting sqref="J10 J12 J14">
    <cfRule type="cellIs" dxfId="4" priority="3"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sheetPr>
  <dimension ref="B1:E13"/>
  <sheetViews>
    <sheetView showGridLines="0" zoomScaleNormal="100" workbookViewId="0"/>
  </sheetViews>
  <sheetFormatPr baseColWidth="10" defaultRowHeight="15" x14ac:dyDescent="0.25"/>
  <cols>
    <col min="1" max="1" width="23.140625" style="94" customWidth="1"/>
    <col min="2" max="2" width="31.140625" style="94" customWidth="1"/>
    <col min="3" max="3" width="14.42578125" style="94" customWidth="1"/>
    <col min="4" max="4" width="32.85546875" style="94" customWidth="1"/>
    <col min="5" max="5" width="14.42578125" style="94" customWidth="1"/>
    <col min="6" max="16384" width="11.42578125" style="94"/>
  </cols>
  <sheetData>
    <row r="1" spans="2:5" ht="27" customHeight="1" x14ac:dyDescent="0.25"/>
    <row r="2" spans="2:5" x14ac:dyDescent="0.25">
      <c r="B2" s="134" t="s">
        <v>223</v>
      </c>
      <c r="C2" s="134" t="s">
        <v>263</v>
      </c>
      <c r="D2" s="134" t="s">
        <v>225</v>
      </c>
      <c r="E2" s="134" t="s">
        <v>263</v>
      </c>
    </row>
    <row r="3" spans="2:5" x14ac:dyDescent="0.25">
      <c r="B3" s="135" t="s">
        <v>271</v>
      </c>
      <c r="C3" s="141">
        <f>COUNTIFS(Mapa_riesgos!$Y$12:$Y$31,$B$3)</f>
        <v>6</v>
      </c>
      <c r="D3" s="135" t="s">
        <v>271</v>
      </c>
      <c r="E3" s="141">
        <f>COUNTIFS(Mapa_riesgos!$Y$12:$Y$31,$B$3,Mapa_riesgos!$AE$12:$AE$31,D3)</f>
        <v>6</v>
      </c>
    </row>
    <row r="4" spans="2:5" x14ac:dyDescent="0.25">
      <c r="B4" s="136"/>
      <c r="C4" s="141"/>
      <c r="D4" s="137" t="s">
        <v>270</v>
      </c>
      <c r="E4" s="141">
        <f>COUNTIFS(Mapa_riesgos!$Y$12:$Y$31,$B$3,Mapa_riesgos!$AE$12:$AE$31,D4)</f>
        <v>0</v>
      </c>
    </row>
    <row r="5" spans="2:5" x14ac:dyDescent="0.25">
      <c r="B5" s="136"/>
      <c r="C5" s="141"/>
      <c r="D5" s="138" t="s">
        <v>84</v>
      </c>
      <c r="E5" s="141">
        <f>COUNTIFS(Mapa_riesgos!$Y$12:$Y$31,$B$3,Mapa_riesgos!$AE$12:$AE$31,D5)</f>
        <v>0</v>
      </c>
    </row>
    <row r="6" spans="2:5" x14ac:dyDescent="0.25">
      <c r="B6" s="137" t="s">
        <v>270</v>
      </c>
      <c r="C6" s="141">
        <f>COUNTIFS(Mapa_riesgos!$Y$12:$Y$31,$B$6)</f>
        <v>13</v>
      </c>
      <c r="D6" s="135" t="s">
        <v>271</v>
      </c>
      <c r="E6" s="141">
        <f>COUNTIFS(Mapa_riesgos!$Y$12:$Y$31,$B$6,Mapa_riesgos!$AE$12:$AE$31,D6)</f>
        <v>0</v>
      </c>
    </row>
    <row r="7" spans="2:5" x14ac:dyDescent="0.25">
      <c r="B7" s="136"/>
      <c r="C7" s="141"/>
      <c r="D7" s="137" t="s">
        <v>270</v>
      </c>
      <c r="E7" s="141">
        <f>COUNTIFS(Mapa_riesgos!$Y$12:$Y$31,$B$6,Mapa_riesgos!$AE$12:$AE$31,D7)</f>
        <v>13</v>
      </c>
    </row>
    <row r="8" spans="2:5" x14ac:dyDescent="0.25">
      <c r="B8" s="136"/>
      <c r="C8" s="141"/>
      <c r="D8" s="138" t="s">
        <v>84</v>
      </c>
      <c r="E8" s="141">
        <f>COUNTIFS(Mapa_riesgos!$Y$12:$Y$31,$B$6,Mapa_riesgos!$AE$12:$AE$31,D8)</f>
        <v>0</v>
      </c>
    </row>
    <row r="9" spans="2:5" x14ac:dyDescent="0.25">
      <c r="B9" s="138" t="s">
        <v>84</v>
      </c>
      <c r="C9" s="141">
        <f>COUNTIFS(Mapa_riesgos!$Y$12:$Y$31,$B$9)</f>
        <v>1</v>
      </c>
      <c r="D9" s="135" t="s">
        <v>271</v>
      </c>
      <c r="E9" s="141">
        <f>COUNTIFS(Mapa_riesgos!$Y$12:$Y$31,$B$9,Mapa_riesgos!$AE$12:$AE$31,D9)</f>
        <v>0</v>
      </c>
    </row>
    <row r="10" spans="2:5" x14ac:dyDescent="0.25">
      <c r="B10" s="136"/>
      <c r="C10" s="141"/>
      <c r="D10" s="137" t="s">
        <v>270</v>
      </c>
      <c r="E10" s="141">
        <f>COUNTIFS(Mapa_riesgos!$Y$12:$Y$31,$B$9,Mapa_riesgos!$AE$12:$AE$31,D10)</f>
        <v>0</v>
      </c>
    </row>
    <row r="11" spans="2:5" x14ac:dyDescent="0.25">
      <c r="B11" s="136"/>
      <c r="C11" s="141"/>
      <c r="D11" s="138" t="s">
        <v>84</v>
      </c>
      <c r="E11" s="141">
        <f>COUNTIFS(Mapa_riesgos!$Y$12:$Y$31,$B$9,Mapa_riesgos!$AE$12:$AE$31,D11)</f>
        <v>1</v>
      </c>
    </row>
    <row r="12" spans="2:5" x14ac:dyDescent="0.25">
      <c r="B12" s="139"/>
      <c r="C12" s="95"/>
      <c r="D12" s="139"/>
      <c r="E12" s="95"/>
    </row>
    <row r="13" spans="2:5" x14ac:dyDescent="0.25">
      <c r="B13" s="140" t="s">
        <v>264</v>
      </c>
      <c r="C13" s="140"/>
      <c r="D13" s="95"/>
      <c r="E13" s="95">
        <f>SUM(E3:E11)</f>
        <v>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ustomWidth="1"/>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20.25" customHeight="1" x14ac:dyDescent="0.25"/>
    <row r="2" spans="2:18" ht="27" customHeight="1" x14ac:dyDescent="0.25">
      <c r="B2" s="252" t="s">
        <v>278</v>
      </c>
      <c r="C2" s="253"/>
      <c r="D2" s="253"/>
      <c r="E2" s="253"/>
      <c r="F2" s="253"/>
      <c r="G2" s="253"/>
      <c r="H2" s="253"/>
      <c r="I2" s="253"/>
      <c r="J2" s="253"/>
      <c r="K2" s="253"/>
      <c r="L2" s="253"/>
      <c r="M2" s="253"/>
      <c r="N2" s="253"/>
      <c r="O2" s="254"/>
      <c r="P2" s="92"/>
    </row>
    <row r="3" spans="2:18" ht="30" customHeight="1" x14ac:dyDescent="0.25">
      <c r="B3" s="255"/>
      <c r="C3" s="256"/>
      <c r="D3" s="256"/>
      <c r="E3" s="256"/>
      <c r="F3" s="256"/>
      <c r="G3" s="256"/>
      <c r="H3" s="256"/>
      <c r="I3" s="256"/>
      <c r="J3" s="256"/>
      <c r="K3" s="256"/>
      <c r="L3" s="256"/>
      <c r="M3" s="256"/>
      <c r="N3" s="256"/>
      <c r="O3" s="257"/>
      <c r="P3" s="92"/>
    </row>
    <row r="4" spans="2:18" ht="20.25" customHeight="1" x14ac:dyDescent="0.25">
      <c r="B4" s="70"/>
      <c r="O4" s="82"/>
      <c r="P4" s="70"/>
    </row>
    <row r="5" spans="2:18" x14ac:dyDescent="0.25">
      <c r="B5" s="70"/>
      <c r="D5" s="71"/>
      <c r="F5" s="71"/>
      <c r="G5" s="71"/>
      <c r="H5" s="71"/>
      <c r="J5" s="71"/>
      <c r="L5" s="71"/>
      <c r="N5" s="71"/>
      <c r="O5" s="82"/>
      <c r="P5" s="70"/>
    </row>
    <row r="6" spans="2:18" ht="40.5" customHeight="1" x14ac:dyDescent="0.25">
      <c r="B6" s="70"/>
      <c r="C6" s="251" t="s">
        <v>269</v>
      </c>
      <c r="D6" s="72" t="str">
        <f>Datos!T2</f>
        <v>Muy alta (5)</v>
      </c>
      <c r="F6" s="71"/>
      <c r="G6" s="71"/>
      <c r="H6" s="71"/>
      <c r="J6" s="73">
        <f>COUNTIFS(Mapa_riesgos!$AA$12:$AA$31,$D6,Mapa_riesgos!$AC$12:$AC$31,J$16)</f>
        <v>0</v>
      </c>
      <c r="K6" s="74"/>
      <c r="L6" s="73">
        <f>COUNTIFS(Mapa_riesgos!$AA$12:$AA$31,$D6,Mapa_riesgos!$AC$12:$AC$31,L$16)</f>
        <v>0</v>
      </c>
      <c r="M6" s="74"/>
      <c r="N6" s="75">
        <f>COUNTIFS(Mapa_riesgos!$AA$12:$AA$31,$D6,Mapa_riesgos!$AC$12:$AC$31,N$16)</f>
        <v>0</v>
      </c>
      <c r="O6" s="82"/>
      <c r="P6" s="70"/>
    </row>
    <row r="7" spans="2:18" ht="12" customHeight="1" x14ac:dyDescent="0.25">
      <c r="B7" s="70"/>
      <c r="C7" s="251"/>
      <c r="D7" s="71"/>
      <c r="F7" s="71"/>
      <c r="G7" s="71"/>
      <c r="H7" s="71"/>
      <c r="J7" s="76"/>
      <c r="K7" s="74"/>
      <c r="L7" s="76"/>
      <c r="M7" s="74"/>
      <c r="N7" s="76"/>
      <c r="O7" s="82"/>
      <c r="P7" s="70"/>
    </row>
    <row r="8" spans="2:18" ht="40.5" customHeight="1" x14ac:dyDescent="0.25">
      <c r="B8" s="70"/>
      <c r="C8" s="251"/>
      <c r="D8" s="72" t="str">
        <f>Datos!T3</f>
        <v>Alta (4)</v>
      </c>
      <c r="F8" s="71"/>
      <c r="G8" s="71"/>
      <c r="H8" s="71"/>
      <c r="J8" s="73">
        <f>COUNTIFS(Mapa_riesgos!$AA$12:$AA$31,$D8,Mapa_riesgos!$AC$12:$AC$31,J$16)</f>
        <v>0</v>
      </c>
      <c r="K8" s="74"/>
      <c r="L8" s="73">
        <f>COUNTIFS(Mapa_riesgos!$AA$12:$AA$31,$D8,Mapa_riesgos!$AC$12:$AC$31,L$16)</f>
        <v>0</v>
      </c>
      <c r="M8" s="74"/>
      <c r="N8" s="75">
        <f>COUNTIFS(Mapa_riesgos!$AA$12:$AA$31,$D8,Mapa_riesgos!$AC$12:$AC$31,N$16)</f>
        <v>0</v>
      </c>
      <c r="O8" s="82"/>
      <c r="P8" s="70"/>
    </row>
    <row r="9" spans="2:18" ht="11.25" customHeight="1" x14ac:dyDescent="0.25">
      <c r="B9" s="70"/>
      <c r="C9" s="251"/>
      <c r="D9" s="71"/>
      <c r="F9" s="71"/>
      <c r="G9" s="71"/>
      <c r="H9" s="71"/>
      <c r="J9" s="76"/>
      <c r="K9" s="74"/>
      <c r="L9" s="76"/>
      <c r="M9" s="74"/>
      <c r="N9" s="76"/>
      <c r="O9" s="82"/>
      <c r="P9" s="70"/>
    </row>
    <row r="10" spans="2:18" ht="40.5" customHeight="1" x14ac:dyDescent="0.25">
      <c r="B10" s="70"/>
      <c r="C10" s="251"/>
      <c r="D10" s="72" t="str">
        <f>Datos!T4</f>
        <v>Media (3)</v>
      </c>
      <c r="F10" s="71"/>
      <c r="G10" s="71"/>
      <c r="H10" s="71"/>
      <c r="J10" s="77">
        <f>COUNTIFS(Mapa_riesgos!$AA$12:$AA$31,$D10,Mapa_riesgos!$AC$12:$AC$31,J$16)</f>
        <v>0</v>
      </c>
      <c r="K10" s="74"/>
      <c r="L10" s="73">
        <f>COUNTIFS(Mapa_riesgos!$AA$12:$AA$31,$D10,Mapa_riesgos!$AC$12:$AC$31,L$16)</f>
        <v>0</v>
      </c>
      <c r="M10" s="74"/>
      <c r="N10" s="75">
        <f>COUNTIFS(Mapa_riesgos!$AA$12:$AA$31,$D10,Mapa_riesgos!$AC$12:$AC$31,N$16)</f>
        <v>0</v>
      </c>
      <c r="O10" s="82"/>
      <c r="P10" s="70"/>
      <c r="R10" s="98"/>
    </row>
    <row r="11" spans="2:18" ht="9" customHeight="1" x14ac:dyDescent="0.25">
      <c r="B11" s="70"/>
      <c r="C11" s="251"/>
      <c r="D11" s="71"/>
      <c r="F11" s="71"/>
      <c r="G11" s="71"/>
      <c r="H11" s="71"/>
      <c r="J11" s="76"/>
      <c r="K11" s="74"/>
      <c r="L11" s="76"/>
      <c r="M11" s="74"/>
      <c r="N11" s="76"/>
      <c r="O11" s="82"/>
      <c r="P11" s="70"/>
    </row>
    <row r="12" spans="2:18" ht="40.5" customHeight="1" x14ac:dyDescent="0.25">
      <c r="B12" s="70"/>
      <c r="C12" s="251"/>
      <c r="D12" s="72" t="str">
        <f>Datos!T5</f>
        <v>Baja (2)</v>
      </c>
      <c r="F12" s="71"/>
      <c r="G12" s="71"/>
      <c r="H12" s="71"/>
      <c r="J12" s="77">
        <f>COUNTIFS(Mapa_riesgos!$AA$12:$AA$31,$D12,Mapa_riesgos!$AC$12:$AC$31,J$16)</f>
        <v>0</v>
      </c>
      <c r="K12" s="74"/>
      <c r="L12" s="73">
        <f>COUNTIFS(Mapa_riesgos!$AA$12:$AA$31,$D12,Mapa_riesgos!$AC$12:$AC$31,L$16)</f>
        <v>0</v>
      </c>
      <c r="M12" s="74"/>
      <c r="N12" s="75">
        <f>COUNTIFS(Mapa_riesgos!$AA$12:$AA$31,$D12,Mapa_riesgos!$AC$12:$AC$31,N$16)</f>
        <v>0</v>
      </c>
      <c r="O12" s="82"/>
      <c r="P12" s="70"/>
      <c r="R12" s="99"/>
    </row>
    <row r="13" spans="2:18" ht="9.75" customHeight="1" x14ac:dyDescent="0.25">
      <c r="B13" s="70"/>
      <c r="C13" s="251"/>
      <c r="D13" s="71"/>
      <c r="F13" s="71"/>
      <c r="G13" s="71"/>
      <c r="H13" s="71"/>
      <c r="J13" s="76"/>
      <c r="K13" s="74"/>
      <c r="L13" s="76"/>
      <c r="M13" s="74"/>
      <c r="N13" s="76"/>
      <c r="O13" s="82"/>
      <c r="P13" s="70"/>
    </row>
    <row r="14" spans="2:18" ht="40.5" customHeight="1" x14ac:dyDescent="0.25">
      <c r="B14" s="70"/>
      <c r="C14" s="251"/>
      <c r="D14" s="72" t="str">
        <f>Datos!T6</f>
        <v>Muy baja (1)</v>
      </c>
      <c r="F14" s="71"/>
      <c r="G14" s="71"/>
      <c r="H14" s="71"/>
      <c r="J14" s="77">
        <f>COUNTIFS(Mapa_riesgos!$AA$12:$AA$31,$D14,Mapa_riesgos!$AC$12:$AC$31,J$16)</f>
        <v>1</v>
      </c>
      <c r="K14" s="74"/>
      <c r="L14" s="73">
        <f>COUNTIFS(Mapa_riesgos!$AA$12:$AA$31,$D14,Mapa_riesgos!$AC$12:$AC$31,L$16)</f>
        <v>13</v>
      </c>
      <c r="M14" s="74"/>
      <c r="N14" s="75">
        <f>COUNTIFS(Mapa_riesgos!$AA$12:$AA$31,$D14,Mapa_riesgos!$AC$12:$AC$31,N$16)</f>
        <v>6</v>
      </c>
      <c r="O14" s="82"/>
      <c r="P14" s="70"/>
    </row>
    <row r="15" spans="2:18" ht="27.75" customHeight="1" x14ac:dyDescent="0.25">
      <c r="B15" s="70"/>
      <c r="D15" s="71"/>
      <c r="F15" s="71"/>
      <c r="G15" s="71"/>
      <c r="H15" s="71"/>
      <c r="J15" s="71"/>
      <c r="L15" s="71"/>
      <c r="N15" s="71"/>
      <c r="O15" s="82"/>
      <c r="P15" s="70"/>
    </row>
    <row r="16" spans="2:18" ht="41.25" customHeight="1" x14ac:dyDescent="0.25">
      <c r="B16" s="70"/>
      <c r="J16" s="72" t="str">
        <f>Datos!U4</f>
        <v>Moderado (3)</v>
      </c>
      <c r="K16" s="78"/>
      <c r="L16" s="72" t="str">
        <f>Datos!U3</f>
        <v>Mayor (4)</v>
      </c>
      <c r="M16" s="78"/>
      <c r="N16" s="72" t="str">
        <f>Datos!U2</f>
        <v>Catastrófico (5)</v>
      </c>
      <c r="O16" s="82"/>
      <c r="P16" s="70"/>
    </row>
    <row r="17" spans="2:16" ht="41.25" customHeight="1" x14ac:dyDescent="0.25">
      <c r="B17" s="70"/>
      <c r="J17" s="81" t="s">
        <v>268</v>
      </c>
      <c r="K17" s="80"/>
      <c r="L17" s="79"/>
      <c r="M17" s="80"/>
      <c r="N17" s="79"/>
      <c r="O17" s="82"/>
      <c r="P17" s="70"/>
    </row>
    <row r="18" spans="2:16" ht="18" customHeight="1" x14ac:dyDescent="0.25">
      <c r="B18" s="70"/>
      <c r="O18" s="82"/>
      <c r="P18" s="70"/>
    </row>
    <row r="19" spans="2:16" ht="26.25" x14ac:dyDescent="0.25">
      <c r="B19" s="70"/>
      <c r="D19" s="81" t="s">
        <v>224</v>
      </c>
      <c r="G19" s="74"/>
      <c r="H19" s="83">
        <f>+F8+F10+H8+H10+H12+J10+J12+J14</f>
        <v>1</v>
      </c>
      <c r="I19" s="74"/>
      <c r="J19" s="83">
        <f>+F6+H6+J6+J8+L6+L8+L10+L12+L14</f>
        <v>13</v>
      </c>
      <c r="K19" s="74"/>
      <c r="L19" s="83">
        <f>+N6+N8+N10+N12+N14</f>
        <v>6</v>
      </c>
      <c r="M19" s="80"/>
      <c r="N19" s="80"/>
      <c r="O19" s="82"/>
      <c r="P19" s="70"/>
    </row>
    <row r="20" spans="2:16" ht="26.25" customHeight="1" x14ac:dyDescent="0.3">
      <c r="B20" s="70"/>
      <c r="D20" s="84">
        <f>SUM(F6:N14)</f>
        <v>20</v>
      </c>
      <c r="G20" s="85"/>
      <c r="H20" s="86" t="s">
        <v>84</v>
      </c>
      <c r="I20" s="85"/>
      <c r="J20" s="87" t="s">
        <v>270</v>
      </c>
      <c r="K20" s="85"/>
      <c r="L20" s="88" t="s">
        <v>271</v>
      </c>
      <c r="O20" s="82"/>
      <c r="P20" s="70"/>
    </row>
    <row r="21" spans="2:16" x14ac:dyDescent="0.25">
      <c r="B21" s="89"/>
      <c r="C21" s="90"/>
      <c r="D21" s="90"/>
      <c r="E21" s="90"/>
      <c r="F21" s="90"/>
      <c r="G21" s="90"/>
      <c r="H21" s="90"/>
      <c r="I21" s="90"/>
      <c r="J21" s="90"/>
      <c r="K21" s="90"/>
      <c r="L21" s="90"/>
      <c r="M21" s="90"/>
      <c r="N21" s="90"/>
      <c r="O21" s="91"/>
      <c r="P21" s="70"/>
    </row>
  </sheetData>
  <mergeCells count="2">
    <mergeCell ref="C6:C14"/>
    <mergeCell ref="B2:O3"/>
  </mergeCells>
  <conditionalFormatting sqref="J6 L6 J8 L8 L10 L12 L14">
    <cfRule type="cellIs" dxfId="2" priority="2" operator="equal">
      <formula>0</formula>
    </cfRule>
  </conditionalFormatting>
  <conditionalFormatting sqref="J10 J12 J14">
    <cfRule type="cellIs" dxfId="1" priority="3"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Arcos</cp:lastModifiedBy>
  <cp:revision/>
  <cp:lastPrinted>2023-03-28T14:26:00Z</cp:lastPrinted>
  <dcterms:created xsi:type="dcterms:W3CDTF">2019-02-01T14:35:23Z</dcterms:created>
  <dcterms:modified xsi:type="dcterms:W3CDTF">2024-01-29T19:55:24Z</dcterms:modified>
  <cp:category/>
  <cp:contentStatus/>
</cp:coreProperties>
</file>